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24226"/>
  <mc:AlternateContent xmlns:mc="http://schemas.openxmlformats.org/markup-compatibility/2006">
    <mc:Choice Requires="x15">
      <x15ac:absPath xmlns:x15ac="http://schemas.microsoft.com/office/spreadsheetml/2010/11/ac" url="F:\FHC Shares\FHC Files\SADOWSKI\2021 Session\"/>
    </mc:Choice>
  </mc:AlternateContent>
  <xr:revisionPtr revIDLastSave="0" documentId="8_{8CC81433-E2CC-4882-B80A-224C8EBA9E34}" xr6:coauthVersionLast="46" xr6:coauthVersionMax="46" xr10:uidLastSave="{00000000-0000-0000-0000-000000000000}"/>
  <bookViews>
    <workbookView xWindow="-120" yWindow="-120" windowWidth="29040" windowHeight="15840" xr2:uid="{00000000-000D-0000-FFFF-FFFF00000000}"/>
  </bookViews>
  <sheets>
    <sheet name="Summary" sheetId="13" r:id="rId1"/>
    <sheet name="Calculations" sheetId="12" r:id="rId2"/>
    <sheet name="Counties &amp; Municipalities" sheetId="11" r:id="rId3"/>
    <sheet name="SML" sheetId="15" r:id="rId4"/>
  </sheets>
  <definedNames>
    <definedName name="_xlnm._FilterDatabase" localSheetId="1" hidden="1">Calculations!$A$10:$T$171</definedName>
    <definedName name="_xlnm._FilterDatabase" localSheetId="2" hidden="1">'Counties &amp; Municipalities'!$A$1:$I$657</definedName>
    <definedName name="_xlnm._FilterDatabase" localSheetId="3" hidden="1">SML!$A$3:$B$70</definedName>
    <definedName name="_xlnm._FilterDatabase" localSheetId="0" hidden="1">Summary!$A$2:$D$129</definedName>
    <definedName name="_Order1" localSheetId="1" hidden="1">255</definedName>
    <definedName name="Alloc_DRHoldback_2019">Calculations!$P$13:$R$134</definedName>
    <definedName name="Minimum">Calculations!$K$4</definedName>
    <definedName name="Minimum_MD">Calculations!$K$11</definedName>
    <definedName name="Net_disb" localSheetId="1">Calculations!$I$6</definedName>
    <definedName name="Population_2020">'Counties &amp; Municipalities'!$A$3:$B$625</definedName>
    <definedName name="_xlnm.Print_Area" localSheetId="1">Calculations!$A$1:$L$137</definedName>
    <definedName name="_xlnm.Print_Area" localSheetId="2">'Counties &amp; Municipalities'!$A$1:$F$629</definedName>
    <definedName name="_xlnm.Print_Area" localSheetId="0">Summary!$A$1:$K$44</definedName>
    <definedName name="_xlnm.Print_Titles" localSheetId="1">Calculations!$6:$12</definedName>
    <definedName name="_xlnm.Print_Titles" localSheetId="2">'Counties &amp; Municipalities'!$1:$2</definedName>
    <definedName name="_xlnm.Print_Titles" localSheetId="0">Summary!$A:$A,Summary!$1:$2</definedName>
    <definedName name="Print_Titles_MI" localSheetId="1">Calculations!$1:$12</definedName>
    <definedName name="SML_list">SML!$A$3:$B$70</definedName>
    <definedName name="Total_min" localSheetId="1">Calculations!$R$166</definedName>
    <definedName name="Total_over" localSheetId="1">Calculations!$R$165</definedName>
    <definedName name="Z_8D136E8B_3B5B_11D3_AFE4_0060083BA764_.wvu.PrintArea" localSheetId="1" hidden="1">Calculations!$P$13:$R$133</definedName>
    <definedName name="Z_8D136E8B_3B5B_11D3_AFE4_0060083BA764_.wvu.PrintTitles" localSheetId="1" hidden="1">Calculations!$1:$12</definedName>
    <definedName name="Z_ECE64186_2A11_11D3_AFE4_0060083BA764_.wvu.PrintArea" localSheetId="1" hidden="1">Calculations!$P$13:$R$133</definedName>
    <definedName name="Z_ECE64186_2A11_11D3_AFE4_0060083BA764_.wvu.PrintTitles" localSheetId="1" hidden="1">Calculations!$1:$12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1" i="12" l="1"/>
  <c r="F100" i="12"/>
  <c r="E100" i="12"/>
  <c r="F99" i="12" l="1"/>
  <c r="H11" i="12"/>
  <c r="I4" i="12" l="1"/>
  <c r="K42" i="13" l="1"/>
  <c r="K41" i="13" l="1"/>
  <c r="I3" i="12"/>
  <c r="K40" i="13" s="1"/>
  <c r="B133" i="12" l="1"/>
  <c r="B132" i="12"/>
  <c r="B131" i="12"/>
  <c r="E130" i="12"/>
  <c r="E129" i="12"/>
  <c r="B128" i="12"/>
  <c r="B127" i="12"/>
  <c r="B126" i="12"/>
  <c r="B125" i="12"/>
  <c r="B124" i="12"/>
  <c r="B123" i="12"/>
  <c r="E122" i="12"/>
  <c r="B121" i="12"/>
  <c r="B120" i="12"/>
  <c r="E119" i="12"/>
  <c r="E118" i="12"/>
  <c r="B117" i="12"/>
  <c r="B116" i="12"/>
  <c r="B115" i="12"/>
  <c r="E114" i="12"/>
  <c r="E113" i="12"/>
  <c r="B112" i="12"/>
  <c r="E111" i="12"/>
  <c r="E110" i="12"/>
  <c r="E109" i="12"/>
  <c r="B108" i="12"/>
  <c r="B107" i="12"/>
  <c r="E106" i="12"/>
  <c r="E105" i="12"/>
  <c r="E104" i="12"/>
  <c r="E103" i="12"/>
  <c r="B102" i="12"/>
  <c r="E101" i="12"/>
  <c r="B99" i="12"/>
  <c r="E98" i="12"/>
  <c r="B97" i="12"/>
  <c r="B96" i="12"/>
  <c r="E95" i="12"/>
  <c r="B94" i="12"/>
  <c r="B93" i="12"/>
  <c r="B92" i="12"/>
  <c r="E91" i="12"/>
  <c r="E90" i="12"/>
  <c r="E89" i="12"/>
  <c r="E88" i="12"/>
  <c r="E87" i="12"/>
  <c r="B86" i="12"/>
  <c r="B85" i="12"/>
  <c r="E84" i="12"/>
  <c r="B83" i="12"/>
  <c r="E82" i="12"/>
  <c r="B81" i="12"/>
  <c r="B80" i="12"/>
  <c r="B79" i="12"/>
  <c r="B78" i="12"/>
  <c r="E77" i="12"/>
  <c r="B76" i="12"/>
  <c r="E75" i="12"/>
  <c r="E74" i="12"/>
  <c r="B73" i="12"/>
  <c r="B72" i="12"/>
  <c r="B71" i="12"/>
  <c r="B70" i="12"/>
  <c r="B69" i="12"/>
  <c r="B68" i="12"/>
  <c r="B67" i="12"/>
  <c r="E66" i="12"/>
  <c r="B65" i="12"/>
  <c r="B64" i="12"/>
  <c r="B63" i="12"/>
  <c r="B62" i="12"/>
  <c r="B61" i="12"/>
  <c r="B60" i="12"/>
  <c r="B59" i="12"/>
  <c r="B58" i="12"/>
  <c r="B57" i="12"/>
  <c r="B56" i="12"/>
  <c r="B55" i="12"/>
  <c r="E54" i="12"/>
  <c r="B53" i="12"/>
  <c r="E52" i="12"/>
  <c r="B51" i="12"/>
  <c r="B50" i="12"/>
  <c r="B49" i="12"/>
  <c r="B48" i="12"/>
  <c r="B47" i="12"/>
  <c r="E46" i="12"/>
  <c r="B45" i="12"/>
  <c r="B44" i="12"/>
  <c r="B43" i="12"/>
  <c r="E42" i="12"/>
  <c r="B41" i="12"/>
  <c r="B40" i="12"/>
  <c r="E39" i="12"/>
  <c r="E38" i="12"/>
  <c r="E37" i="12"/>
  <c r="E36" i="12"/>
  <c r="E35" i="12"/>
  <c r="E34" i="12"/>
  <c r="E33" i="12"/>
  <c r="E32" i="12"/>
  <c r="E31" i="12"/>
  <c r="E30" i="12"/>
  <c r="E29" i="12"/>
  <c r="E28" i="12"/>
  <c r="E27" i="12"/>
  <c r="E26" i="12"/>
  <c r="E25" i="12"/>
  <c r="B24" i="12"/>
  <c r="E23" i="12"/>
  <c r="E22" i="12"/>
  <c r="E21" i="12"/>
  <c r="E20" i="12"/>
  <c r="B19" i="12"/>
  <c r="B18" i="12"/>
  <c r="E17" i="12"/>
  <c r="B16" i="12"/>
  <c r="B15" i="12"/>
  <c r="AB14" i="12"/>
  <c r="E14" i="12"/>
  <c r="AB13" i="12"/>
  <c r="B13" i="12"/>
  <c r="E136" i="12" l="1"/>
  <c r="AB16" i="12"/>
  <c r="AD13" i="12" s="1"/>
  <c r="F42" i="12"/>
  <c r="F84" i="12"/>
  <c r="F94" i="12"/>
  <c r="F109" i="12"/>
  <c r="F98" i="12"/>
  <c r="F45" i="12"/>
  <c r="F65" i="12"/>
  <c r="F74" i="12"/>
  <c r="F97" i="12"/>
  <c r="F130" i="12"/>
  <c r="AD14" i="12"/>
  <c r="K9" i="12" s="1"/>
  <c r="K11" i="12" s="1"/>
  <c r="Q157" i="12" s="1"/>
  <c r="F110" i="12"/>
  <c r="F118" i="12"/>
  <c r="F46" i="12"/>
  <c r="I6" i="12"/>
  <c r="F16" i="12"/>
  <c r="F104" i="12"/>
  <c r="F82" i="12"/>
  <c r="F90" i="12"/>
  <c r="F122" i="12"/>
  <c r="F22" i="12"/>
  <c r="F20" i="12"/>
  <c r="F75" i="12"/>
  <c r="F83" i="12"/>
  <c r="F54" i="12"/>
  <c r="F66" i="12"/>
  <c r="F91" i="12"/>
  <c r="F26" i="12"/>
  <c r="F30" i="12"/>
  <c r="F34" i="12"/>
  <c r="F38" i="12"/>
  <c r="F41" i="12"/>
  <c r="F95" i="12"/>
  <c r="F111" i="12"/>
  <c r="F119" i="12"/>
  <c r="F32" i="12"/>
  <c r="F36" i="12"/>
  <c r="F14" i="12"/>
  <c r="F13" i="12"/>
  <c r="F52" i="12"/>
  <c r="F77" i="12"/>
  <c r="F76" i="12"/>
  <c r="F28" i="12"/>
  <c r="F51" i="12"/>
  <c r="F17" i="12"/>
  <c r="F21" i="12"/>
  <c r="F23" i="12"/>
  <c r="F25" i="12"/>
  <c r="F27" i="12"/>
  <c r="F29" i="12"/>
  <c r="F31" i="12"/>
  <c r="F33" i="12"/>
  <c r="F35" i="12"/>
  <c r="F37" i="12"/>
  <c r="F39" i="12"/>
  <c r="F53" i="12"/>
  <c r="F81" i="12"/>
  <c r="F88" i="12"/>
  <c r="F87" i="12"/>
  <c r="F89" i="12"/>
  <c r="B136" i="12"/>
  <c r="D47" i="12" s="1"/>
  <c r="F105" i="12"/>
  <c r="F106" i="12"/>
  <c r="F114" i="12"/>
  <c r="F129" i="12"/>
  <c r="F103" i="12"/>
  <c r="F113" i="12"/>
  <c r="J12" i="12" l="1"/>
  <c r="H9" i="12"/>
  <c r="Q151" i="12" s="1"/>
  <c r="AD16" i="12"/>
  <c r="F117" i="12"/>
  <c r="F121" i="12"/>
  <c r="F128" i="12"/>
  <c r="Q136" i="12"/>
  <c r="F73" i="12"/>
  <c r="F108" i="12"/>
  <c r="F86" i="12"/>
  <c r="F112" i="12"/>
  <c r="F102" i="12"/>
  <c r="D127" i="12"/>
  <c r="D117" i="12"/>
  <c r="D71" i="12"/>
  <c r="D53" i="12"/>
  <c r="D16" i="12"/>
  <c r="J16" i="12" s="1"/>
  <c r="K16" i="12" s="1"/>
  <c r="D61" i="12"/>
  <c r="D96" i="12"/>
  <c r="D102" i="12"/>
  <c r="D86" i="12"/>
  <c r="D112" i="12"/>
  <c r="D41" i="12"/>
  <c r="D19" i="12"/>
  <c r="D24" i="12"/>
  <c r="D43" i="12"/>
  <c r="D123" i="12"/>
  <c r="D132" i="12"/>
  <c r="D65" i="12"/>
  <c r="D57" i="12"/>
  <c r="D62" i="12"/>
  <c r="D70" i="12"/>
  <c r="B137" i="12"/>
  <c r="D121" i="12"/>
  <c r="D115" i="12"/>
  <c r="D126" i="12"/>
  <c r="D97" i="12"/>
  <c r="D93" i="12"/>
  <c r="D92" i="12"/>
  <c r="D131" i="12"/>
  <c r="D73" i="12"/>
  <c r="D69" i="12"/>
  <c r="D85" i="12"/>
  <c r="D72" i="12"/>
  <c r="D63" i="12"/>
  <c r="D125" i="12"/>
  <c r="D120" i="12"/>
  <c r="D99" i="12"/>
  <c r="D78" i="12"/>
  <c r="D68" i="12"/>
  <c r="D67" i="12"/>
  <c r="D60" i="12"/>
  <c r="D56" i="12"/>
  <c r="D50" i="12"/>
  <c r="D13" i="12"/>
  <c r="D59" i="12"/>
  <c r="D64" i="12"/>
  <c r="D45" i="12"/>
  <c r="D116" i="12"/>
  <c r="D83" i="12"/>
  <c r="D79" i="12"/>
  <c r="D44" i="12"/>
  <c r="D40" i="12"/>
  <c r="D18" i="12"/>
  <c r="D15" i="12"/>
  <c r="D55" i="12"/>
  <c r="D49" i="12"/>
  <c r="D51" i="12"/>
  <c r="D133" i="12"/>
  <c r="D124" i="12"/>
  <c r="F24" i="12"/>
  <c r="D58" i="12"/>
  <c r="D76" i="12"/>
  <c r="R163" i="12"/>
  <c r="R151" i="12"/>
  <c r="D108" i="12"/>
  <c r="D94" i="12"/>
  <c r="D107" i="12"/>
  <c r="D128" i="12"/>
  <c r="D80" i="12"/>
  <c r="D81" i="12"/>
  <c r="F19" i="12"/>
  <c r="D48" i="12"/>
  <c r="G12" i="12"/>
  <c r="J127" i="12" l="1"/>
  <c r="K127" i="12" s="1"/>
  <c r="L127" i="12" s="1"/>
  <c r="Q158" i="12"/>
  <c r="J102" i="12"/>
  <c r="K102" i="12" s="1"/>
  <c r="J107" i="12"/>
  <c r="K107" i="12" s="1"/>
  <c r="J124" i="12"/>
  <c r="K124" i="12" s="1"/>
  <c r="J55" i="12"/>
  <c r="K55" i="12" s="1"/>
  <c r="L55" i="12" s="1"/>
  <c r="J48" i="12"/>
  <c r="K48" i="12" s="1"/>
  <c r="J128" i="12"/>
  <c r="K128" i="12" s="1"/>
  <c r="J49" i="12"/>
  <c r="K49" i="12" s="1"/>
  <c r="L49" i="12" s="1"/>
  <c r="J40" i="12"/>
  <c r="K40" i="12" s="1"/>
  <c r="L40" i="12" s="1"/>
  <c r="J116" i="12"/>
  <c r="K116" i="12" s="1"/>
  <c r="J67" i="12"/>
  <c r="K67" i="12" s="1"/>
  <c r="L67" i="12" s="1"/>
  <c r="J120" i="12"/>
  <c r="K120" i="12" s="1"/>
  <c r="J85" i="12"/>
  <c r="K85" i="12" s="1"/>
  <c r="J92" i="12"/>
  <c r="K92" i="12" s="1"/>
  <c r="J115" i="12"/>
  <c r="K115" i="12" s="1"/>
  <c r="J62" i="12"/>
  <c r="K62" i="12" s="1"/>
  <c r="J123" i="12"/>
  <c r="K123" i="12" s="1"/>
  <c r="J41" i="12"/>
  <c r="K41" i="12" s="1"/>
  <c r="J96" i="12"/>
  <c r="K96" i="12" s="1"/>
  <c r="J44" i="12"/>
  <c r="K44" i="12" s="1"/>
  <c r="J80" i="12"/>
  <c r="K80" i="12" s="1"/>
  <c r="L80" i="12" s="1"/>
  <c r="J108" i="12"/>
  <c r="K108" i="12" s="1"/>
  <c r="J58" i="12"/>
  <c r="K58" i="12" s="1"/>
  <c r="L58" i="12" s="1"/>
  <c r="J51" i="12"/>
  <c r="K51" i="12" s="1"/>
  <c r="J18" i="12"/>
  <c r="K18" i="12" s="1"/>
  <c r="J83" i="12"/>
  <c r="K83" i="12" s="1"/>
  <c r="J59" i="12"/>
  <c r="K59" i="12" s="1"/>
  <c r="L59" i="12" s="1"/>
  <c r="J60" i="12"/>
  <c r="K60" i="12" s="1"/>
  <c r="L60" i="12" s="1"/>
  <c r="J99" i="12"/>
  <c r="K99" i="12" s="1"/>
  <c r="J72" i="12"/>
  <c r="K72" i="12" s="1"/>
  <c r="J131" i="12"/>
  <c r="K131" i="12" s="1"/>
  <c r="J126" i="12"/>
  <c r="K126" i="12" s="1"/>
  <c r="L126" i="12" s="1"/>
  <c r="J70" i="12"/>
  <c r="K70" i="12" s="1"/>
  <c r="L70" i="12" s="1"/>
  <c r="J132" i="12"/>
  <c r="K132" i="12" s="1"/>
  <c r="J19" i="12"/>
  <c r="K19" i="12" s="1"/>
  <c r="J45" i="12"/>
  <c r="K45" i="12" s="1"/>
  <c r="J50" i="12"/>
  <c r="K50" i="12" s="1"/>
  <c r="J68" i="12"/>
  <c r="K68" i="12" s="1"/>
  <c r="J125" i="12"/>
  <c r="K125" i="12" s="1"/>
  <c r="J69" i="12"/>
  <c r="K69" i="12" s="1"/>
  <c r="J93" i="12"/>
  <c r="K93" i="12" s="1"/>
  <c r="J121" i="12"/>
  <c r="K121" i="12" s="1"/>
  <c r="J57" i="12"/>
  <c r="K57" i="12" s="1"/>
  <c r="L57" i="12" s="1"/>
  <c r="J43" i="12"/>
  <c r="K43" i="12" s="1"/>
  <c r="J112" i="12"/>
  <c r="K112" i="12" s="1"/>
  <c r="J61" i="12"/>
  <c r="K61" i="12" s="1"/>
  <c r="J117" i="12"/>
  <c r="K117" i="12" s="1"/>
  <c r="J47" i="12"/>
  <c r="K47" i="12" s="1"/>
  <c r="J53" i="12"/>
  <c r="K53" i="12" s="1"/>
  <c r="J81" i="12"/>
  <c r="K81" i="12" s="1"/>
  <c r="J94" i="12"/>
  <c r="K94" i="12" s="1"/>
  <c r="J76" i="12"/>
  <c r="K76" i="12" s="1"/>
  <c r="J133" i="12"/>
  <c r="K133" i="12" s="1"/>
  <c r="L133" i="12" s="1"/>
  <c r="J15" i="12"/>
  <c r="K15" i="12" s="1"/>
  <c r="J79" i="12"/>
  <c r="K79" i="12" s="1"/>
  <c r="L79" i="12" s="1"/>
  <c r="J64" i="12"/>
  <c r="K64" i="12" s="1"/>
  <c r="J56" i="12"/>
  <c r="K56" i="12" s="1"/>
  <c r="J78" i="12"/>
  <c r="K78" i="12" s="1"/>
  <c r="J63" i="12"/>
  <c r="K63" i="12" s="1"/>
  <c r="J73" i="12"/>
  <c r="K73" i="12" s="1"/>
  <c r="J97" i="12"/>
  <c r="K97" i="12" s="1"/>
  <c r="J65" i="12"/>
  <c r="K65" i="12" s="1"/>
  <c r="J24" i="12"/>
  <c r="K24" i="12" s="1"/>
  <c r="J86" i="12"/>
  <c r="K86" i="12" s="1"/>
  <c r="J71" i="12"/>
  <c r="K71" i="12" s="1"/>
  <c r="L71" i="12" s="1"/>
  <c r="D136" i="12"/>
  <c r="Q152" i="12"/>
  <c r="J6" i="12"/>
  <c r="C125" i="12"/>
  <c r="G125" i="12" s="1"/>
  <c r="H125" i="12" s="1"/>
  <c r="C79" i="12"/>
  <c r="G79" i="12" s="1"/>
  <c r="H79" i="12" s="1"/>
  <c r="I79" i="12" s="1"/>
  <c r="C115" i="12"/>
  <c r="G115" i="12" s="1"/>
  <c r="H115" i="12" s="1"/>
  <c r="C97" i="12"/>
  <c r="G97" i="12" s="1"/>
  <c r="H97" i="12" s="1"/>
  <c r="C92" i="12"/>
  <c r="G92" i="12" s="1"/>
  <c r="H92" i="12" s="1"/>
  <c r="C83" i="12"/>
  <c r="G83" i="12" s="1"/>
  <c r="H83" i="12" s="1"/>
  <c r="C78" i="12"/>
  <c r="G78" i="12" s="1"/>
  <c r="H78" i="12" s="1"/>
  <c r="C120" i="12"/>
  <c r="G120" i="12" s="1"/>
  <c r="H120" i="12" s="1"/>
  <c r="C108" i="12"/>
  <c r="G108" i="12" s="1"/>
  <c r="H108" i="12" s="1"/>
  <c r="C44" i="12"/>
  <c r="G44" i="12" s="1"/>
  <c r="H44" i="12" s="1"/>
  <c r="C68" i="12"/>
  <c r="G68" i="12" s="1"/>
  <c r="H68" i="12" s="1"/>
  <c r="C63" i="12"/>
  <c r="G63" i="12" s="1"/>
  <c r="H63" i="12" s="1"/>
  <c r="C49" i="12"/>
  <c r="G49" i="12" s="1"/>
  <c r="H49" i="12" s="1"/>
  <c r="I49" i="12" s="1"/>
  <c r="C13" i="12"/>
  <c r="G13" i="12" s="1"/>
  <c r="C128" i="12"/>
  <c r="G128" i="12" s="1"/>
  <c r="H128" i="12" s="1"/>
  <c r="C72" i="12"/>
  <c r="G72" i="12" s="1"/>
  <c r="H72" i="12" s="1"/>
  <c r="C67" i="12"/>
  <c r="G67" i="12" s="1"/>
  <c r="H67" i="12" s="1"/>
  <c r="I67" i="12" s="1"/>
  <c r="C59" i="12"/>
  <c r="G59" i="12" s="1"/>
  <c r="H59" i="12" s="1"/>
  <c r="I59" i="12" s="1"/>
  <c r="C55" i="12"/>
  <c r="G55" i="12" s="1"/>
  <c r="H55" i="12" s="1"/>
  <c r="I55" i="12" s="1"/>
  <c r="C53" i="12"/>
  <c r="G53" i="12" s="1"/>
  <c r="H53" i="12" s="1"/>
  <c r="C51" i="12"/>
  <c r="G51" i="12" s="1"/>
  <c r="H51" i="12" s="1"/>
  <c r="C15" i="12"/>
  <c r="G15" i="12" s="1"/>
  <c r="H15" i="12" s="1"/>
  <c r="C50" i="12"/>
  <c r="G50" i="12" s="1"/>
  <c r="H50" i="12" s="1"/>
  <c r="C62" i="12"/>
  <c r="G62" i="12" s="1"/>
  <c r="H62" i="12" s="1"/>
  <c r="C124" i="12"/>
  <c r="G124" i="12" s="1"/>
  <c r="H124" i="12" s="1"/>
  <c r="C61" i="12"/>
  <c r="G61" i="12" s="1"/>
  <c r="H61" i="12" s="1"/>
  <c r="C16" i="12"/>
  <c r="G16" i="12" s="1"/>
  <c r="H16" i="12" s="1"/>
  <c r="C43" i="12"/>
  <c r="G43" i="12" s="1"/>
  <c r="H43" i="12" s="1"/>
  <c r="C64" i="12"/>
  <c r="G64" i="12" s="1"/>
  <c r="H64" i="12" s="1"/>
  <c r="C126" i="12"/>
  <c r="G126" i="12" s="1"/>
  <c r="H126" i="12" s="1"/>
  <c r="I126" i="12" s="1"/>
  <c r="C81" i="12"/>
  <c r="G81" i="12" s="1"/>
  <c r="H81" i="12" s="1"/>
  <c r="C117" i="12"/>
  <c r="G117" i="12" s="1"/>
  <c r="H117" i="12" s="1"/>
  <c r="C127" i="12"/>
  <c r="G127" i="12" s="1"/>
  <c r="H127" i="12" s="1"/>
  <c r="I127" i="12" s="1"/>
  <c r="C107" i="12"/>
  <c r="G107" i="12" s="1"/>
  <c r="H107" i="12" s="1"/>
  <c r="C121" i="12"/>
  <c r="G121" i="12" s="1"/>
  <c r="H121" i="12" s="1"/>
  <c r="C94" i="12"/>
  <c r="G94" i="12" s="1"/>
  <c r="H94" i="12" s="1"/>
  <c r="C131" i="12"/>
  <c r="G131" i="12" s="1"/>
  <c r="H131" i="12" s="1"/>
  <c r="C57" i="12"/>
  <c r="G57" i="12" s="1"/>
  <c r="H57" i="12" s="1"/>
  <c r="I57" i="12" s="1"/>
  <c r="C96" i="12"/>
  <c r="G96" i="12" s="1"/>
  <c r="H96" i="12" s="1"/>
  <c r="C123" i="12"/>
  <c r="G123" i="12" s="1"/>
  <c r="H123" i="12" s="1"/>
  <c r="C133" i="12"/>
  <c r="G133" i="12" s="1"/>
  <c r="H133" i="12" s="1"/>
  <c r="C40" i="12"/>
  <c r="G40" i="12" s="1"/>
  <c r="H40" i="12" s="1"/>
  <c r="I40" i="12" s="1"/>
  <c r="C41" i="12"/>
  <c r="G41" i="12" s="1"/>
  <c r="H41" i="12" s="1"/>
  <c r="C112" i="12"/>
  <c r="G112" i="12" s="1"/>
  <c r="H112" i="12" s="1"/>
  <c r="C58" i="12"/>
  <c r="G58" i="12" s="1"/>
  <c r="H58" i="12" s="1"/>
  <c r="I58" i="12" s="1"/>
  <c r="C71" i="12"/>
  <c r="G71" i="12" s="1"/>
  <c r="H71" i="12" s="1"/>
  <c r="I71" i="12" s="1"/>
  <c r="C18" i="12"/>
  <c r="G18" i="12" s="1"/>
  <c r="H18" i="12" s="1"/>
  <c r="C45" i="12"/>
  <c r="G45" i="12" s="1"/>
  <c r="H45" i="12" s="1"/>
  <c r="C65" i="12"/>
  <c r="G65" i="12" s="1"/>
  <c r="H65" i="12" s="1"/>
  <c r="C80" i="12"/>
  <c r="G80" i="12" s="1"/>
  <c r="H80" i="12" s="1"/>
  <c r="I80" i="12" s="1"/>
  <c r="C93" i="12"/>
  <c r="G93" i="12" s="1"/>
  <c r="H93" i="12" s="1"/>
  <c r="C47" i="12"/>
  <c r="G47" i="12" s="1"/>
  <c r="H47" i="12" s="1"/>
  <c r="C70" i="12"/>
  <c r="G70" i="12" s="1"/>
  <c r="H70" i="12" s="1"/>
  <c r="I70" i="12" s="1"/>
  <c r="C56" i="12"/>
  <c r="G56" i="12" s="1"/>
  <c r="H56" i="12" s="1"/>
  <c r="C69" i="12"/>
  <c r="G69" i="12" s="1"/>
  <c r="H69" i="12" s="1"/>
  <c r="C132" i="12"/>
  <c r="G132" i="12" s="1"/>
  <c r="H132" i="12" s="1"/>
  <c r="C48" i="12"/>
  <c r="G48" i="12" s="1"/>
  <c r="H48" i="12" s="1"/>
  <c r="C60" i="12"/>
  <c r="G60" i="12" s="1"/>
  <c r="H60" i="12" s="1"/>
  <c r="I60" i="12" s="1"/>
  <c r="C85" i="12"/>
  <c r="G85" i="12" s="1"/>
  <c r="H85" i="12" s="1"/>
  <c r="C76" i="12"/>
  <c r="G76" i="12" s="1"/>
  <c r="H76" i="12" s="1"/>
  <c r="C24" i="12"/>
  <c r="G24" i="12" s="1"/>
  <c r="C19" i="12"/>
  <c r="G19" i="12" s="1"/>
  <c r="H19" i="12" s="1"/>
  <c r="C102" i="12"/>
  <c r="G102" i="12" s="1"/>
  <c r="H102" i="12" s="1"/>
  <c r="C116" i="12"/>
  <c r="G116" i="12" s="1"/>
  <c r="H116" i="12" s="1"/>
  <c r="C73" i="12"/>
  <c r="G73" i="12" s="1"/>
  <c r="H73" i="12" s="1"/>
  <c r="C99" i="12"/>
  <c r="G99" i="12" s="1"/>
  <c r="H99" i="12" s="1"/>
  <c r="J13" i="12"/>
  <c r="H24" i="12" l="1"/>
  <c r="G136" i="12"/>
  <c r="G139" i="12" s="1"/>
  <c r="H13" i="12"/>
  <c r="C136" i="12"/>
  <c r="J136" i="12"/>
  <c r="J139" i="12" s="1"/>
  <c r="K13" i="12"/>
  <c r="Q153" i="12"/>
  <c r="R164" i="12"/>
  <c r="H136" i="12" l="1"/>
  <c r="K136" i="12"/>
  <c r="L102" i="12" l="1"/>
  <c r="L15" i="12"/>
  <c r="L61" i="12"/>
  <c r="L18" i="12"/>
  <c r="I128" i="12"/>
  <c r="I133" i="12"/>
  <c r="I102" i="12"/>
  <c r="I24" i="12"/>
  <c r="L125" i="12"/>
  <c r="L132" i="12"/>
  <c r="L62" i="12"/>
  <c r="L56" i="12"/>
  <c r="L69" i="12"/>
  <c r="L96" i="12"/>
  <c r="L78" i="12"/>
  <c r="L47" i="12"/>
  <c r="L131" i="12"/>
  <c r="L48" i="12"/>
  <c r="I96" i="12"/>
  <c r="I15" i="12"/>
  <c r="I62" i="12"/>
  <c r="I78" i="12"/>
  <c r="I48" i="12"/>
  <c r="I69" i="12"/>
  <c r="I56" i="12"/>
  <c r="I131" i="12"/>
  <c r="I18" i="12"/>
  <c r="I61" i="12"/>
  <c r="I125" i="12"/>
  <c r="L43" i="12"/>
  <c r="L115" i="12"/>
  <c r="L120" i="12"/>
  <c r="L44" i="12"/>
  <c r="L64" i="12"/>
  <c r="L53" i="12"/>
  <c r="L85" i="12"/>
  <c r="L93" i="12"/>
  <c r="L94" i="12"/>
  <c r="L16" i="12"/>
  <c r="L41" i="12"/>
  <c r="L68" i="12"/>
  <c r="L63" i="12"/>
  <c r="L116" i="12"/>
  <c r="L92" i="12"/>
  <c r="L124" i="12"/>
  <c r="I13" i="12"/>
  <c r="I64" i="12"/>
  <c r="I94" i="12"/>
  <c r="I120" i="12"/>
  <c r="I68" i="12"/>
  <c r="I43" i="12"/>
  <c r="I115" i="12"/>
  <c r="I92" i="12"/>
  <c r="I53" i="12"/>
  <c r="I47" i="12"/>
  <c r="I41" i="12"/>
  <c r="I132" i="12"/>
  <c r="I85" i="12"/>
  <c r="I63" i="12"/>
  <c r="I16" i="12"/>
  <c r="I93" i="12"/>
  <c r="I124" i="12"/>
  <c r="I44" i="12"/>
  <c r="L13" i="12"/>
  <c r="L76" i="12"/>
  <c r="L72" i="12"/>
  <c r="L83" i="12"/>
  <c r="L50" i="12"/>
  <c r="L45" i="12"/>
  <c r="L108" i="12"/>
  <c r="L112" i="12"/>
  <c r="L73" i="12"/>
  <c r="L128" i="12"/>
  <c r="L97" i="12"/>
  <c r="L86" i="12"/>
  <c r="L19" i="12"/>
  <c r="L99" i="12"/>
  <c r="L121" i="12"/>
  <c r="L81" i="12"/>
  <c r="L123" i="12"/>
  <c r="L24" i="12"/>
  <c r="L65" i="12"/>
  <c r="L51" i="12"/>
  <c r="L107" i="12"/>
  <c r="L117" i="12"/>
  <c r="I112" i="12"/>
  <c r="I121" i="12"/>
  <c r="I116" i="12"/>
  <c r="I117" i="12"/>
  <c r="I99" i="12"/>
  <c r="I83" i="12"/>
  <c r="I108" i="12"/>
  <c r="I81" i="12"/>
  <c r="I65" i="12"/>
  <c r="I107" i="12"/>
  <c r="I76" i="12"/>
  <c r="I50" i="12"/>
  <c r="I51" i="12"/>
  <c r="I45" i="12"/>
  <c r="I72" i="12"/>
  <c r="I123" i="12"/>
  <c r="I97" i="12"/>
  <c r="I19" i="12"/>
  <c r="I73" i="12"/>
  <c r="I136" i="12" l="1"/>
  <c r="I139" i="12" s="1"/>
  <c r="Q156" i="12"/>
  <c r="R157" i="12" s="1"/>
  <c r="R166" i="12" s="1"/>
  <c r="L136" i="12"/>
  <c r="L139" i="12" s="1"/>
  <c r="Q159" i="12" l="1"/>
  <c r="Q55" i="12" s="1"/>
  <c r="F3" i="13" l="1"/>
  <c r="Q24" i="12"/>
  <c r="R55" i="12"/>
  <c r="Q63" i="12"/>
  <c r="R165" i="12"/>
  <c r="R167" i="12" s="1"/>
  <c r="Q126" i="12"/>
  <c r="Q60" i="12"/>
  <c r="Q62" i="12"/>
  <c r="Q58" i="12"/>
  <c r="Q133" i="12"/>
  <c r="Q99" i="12"/>
  <c r="Q78" i="12"/>
  <c r="Q40" i="12"/>
  <c r="Q94" i="12"/>
  <c r="Q44" i="12"/>
  <c r="Q116" i="12"/>
  <c r="Q69" i="12"/>
  <c r="Q41" i="12"/>
  <c r="Q85" i="12"/>
  <c r="Q92" i="12"/>
  <c r="Q56" i="12"/>
  <c r="Q79" i="12"/>
  <c r="Q120" i="12"/>
  <c r="Q18" i="12"/>
  <c r="Q121" i="12"/>
  <c r="Q93" i="12"/>
  <c r="Q16" i="12"/>
  <c r="Q48" i="12"/>
  <c r="Q124" i="12"/>
  <c r="Q71" i="12"/>
  <c r="Q61" i="12"/>
  <c r="Q49" i="12"/>
  <c r="Q47" i="12"/>
  <c r="Q59" i="12"/>
  <c r="Q125" i="12"/>
  <c r="Q80" i="12"/>
  <c r="Q70" i="12"/>
  <c r="Q67" i="12"/>
  <c r="Q57" i="12"/>
  <c r="Q97" i="12"/>
  <c r="Q13" i="12"/>
  <c r="Q53" i="12"/>
  <c r="Q96" i="12"/>
  <c r="Q127" i="12"/>
  <c r="Q68" i="12"/>
  <c r="Q132" i="12"/>
  <c r="Q115" i="12"/>
  <c r="Q43" i="12"/>
  <c r="Q64" i="12"/>
  <c r="Q15" i="12"/>
  <c r="Q131" i="12"/>
  <c r="Q50" i="12"/>
  <c r="Q45" i="12"/>
  <c r="Q123" i="12"/>
  <c r="Q112" i="12"/>
  <c r="Q128" i="12"/>
  <c r="Q86" i="12"/>
  <c r="Q73" i="12"/>
  <c r="Q19" i="12"/>
  <c r="Q76" i="12"/>
  <c r="Q65" i="12"/>
  <c r="Q51" i="12"/>
  <c r="Q117" i="12"/>
  <c r="Q81" i="12"/>
  <c r="Q83" i="12"/>
  <c r="Q102" i="12"/>
  <c r="Q108" i="12"/>
  <c r="Q72" i="12"/>
  <c r="Q107" i="12"/>
  <c r="J28" i="13" l="1"/>
  <c r="R54" i="12"/>
  <c r="R42" i="12"/>
  <c r="C32" i="13" s="1"/>
  <c r="R95" i="12"/>
  <c r="R94" i="12" s="1"/>
  <c r="R38" i="12"/>
  <c r="C28" i="13" s="1"/>
  <c r="R101" i="12"/>
  <c r="R30" i="12"/>
  <c r="R31" i="12"/>
  <c r="R27" i="12"/>
  <c r="R35" i="12"/>
  <c r="R39" i="12"/>
  <c r="R29" i="12"/>
  <c r="R32" i="12"/>
  <c r="R26" i="12"/>
  <c r="R33" i="12"/>
  <c r="R36" i="12"/>
  <c r="R34" i="12"/>
  <c r="R37" i="12"/>
  <c r="R28" i="12"/>
  <c r="J17" i="13"/>
  <c r="J37" i="13"/>
  <c r="F15" i="13"/>
  <c r="F19" i="13"/>
  <c r="F27" i="13"/>
  <c r="F42" i="13"/>
  <c r="J31" i="13"/>
  <c r="J20" i="13"/>
  <c r="F13" i="13"/>
  <c r="B35" i="13"/>
  <c r="F16" i="13"/>
  <c r="F18" i="13"/>
  <c r="J29" i="13"/>
  <c r="F4" i="13"/>
  <c r="B30" i="13"/>
  <c r="F5" i="13"/>
  <c r="F20" i="13"/>
  <c r="F24" i="13"/>
  <c r="B40" i="13"/>
  <c r="J32" i="13"/>
  <c r="F28" i="13"/>
  <c r="B38" i="13"/>
  <c r="F40" i="13"/>
  <c r="F26" i="13"/>
  <c r="F11" i="13"/>
  <c r="J22" i="13"/>
  <c r="J25" i="13"/>
  <c r="C44" i="13"/>
  <c r="J13" i="13"/>
  <c r="B9" i="13"/>
  <c r="J36" i="13"/>
  <c r="F44" i="13"/>
  <c r="J30" i="13"/>
  <c r="B6" i="13"/>
  <c r="F33" i="13"/>
  <c r="J5" i="13"/>
  <c r="G3" i="13"/>
  <c r="B34" i="13"/>
  <c r="J7" i="13"/>
  <c r="F21" i="13"/>
  <c r="B5" i="13"/>
  <c r="B43" i="13"/>
  <c r="F7" i="13"/>
  <c r="F41" i="13"/>
  <c r="B31" i="13"/>
  <c r="J38" i="13"/>
  <c r="B14" i="13"/>
  <c r="F9" i="13"/>
  <c r="B41" i="13"/>
  <c r="F31" i="13"/>
  <c r="F34" i="13"/>
  <c r="F12" i="13"/>
  <c r="B3" i="13"/>
  <c r="B37" i="13"/>
  <c r="J26" i="13"/>
  <c r="F17" i="13"/>
  <c r="F6" i="13"/>
  <c r="F8" i="13"/>
  <c r="J12" i="13"/>
  <c r="F29" i="13"/>
  <c r="J33" i="13"/>
  <c r="B33" i="13"/>
  <c r="J3" i="13"/>
  <c r="B39" i="13"/>
  <c r="B8" i="13"/>
  <c r="J21" i="13"/>
  <c r="F10" i="13"/>
  <c r="R14" i="12"/>
  <c r="R122" i="12"/>
  <c r="R25" i="12"/>
  <c r="R17" i="12"/>
  <c r="R107" i="12"/>
  <c r="R84" i="12"/>
  <c r="R64" i="12"/>
  <c r="R68" i="12"/>
  <c r="R70" i="12"/>
  <c r="R47" i="12"/>
  <c r="R124" i="12"/>
  <c r="R56" i="12"/>
  <c r="R69" i="12"/>
  <c r="R40" i="12"/>
  <c r="R58" i="12"/>
  <c r="R72" i="12"/>
  <c r="R77" i="12"/>
  <c r="R50" i="12"/>
  <c r="R43" i="12"/>
  <c r="R127" i="12"/>
  <c r="R98" i="12"/>
  <c r="R80" i="12"/>
  <c r="R49" i="12"/>
  <c r="R48" i="12"/>
  <c r="R18" i="12"/>
  <c r="R92" i="12"/>
  <c r="R116" i="12"/>
  <c r="R78" i="12"/>
  <c r="R62" i="12"/>
  <c r="R63" i="12"/>
  <c r="R53" i="12"/>
  <c r="R131" i="12"/>
  <c r="R115" i="12"/>
  <c r="R96" i="12"/>
  <c r="R57" i="12"/>
  <c r="R125" i="12"/>
  <c r="R61" i="12"/>
  <c r="R120" i="12"/>
  <c r="R85" i="12"/>
  <c r="R44" i="12"/>
  <c r="R60" i="12"/>
  <c r="R123" i="12"/>
  <c r="R15" i="12"/>
  <c r="R132" i="12"/>
  <c r="R67" i="12"/>
  <c r="R59" i="12"/>
  <c r="R71" i="12"/>
  <c r="R93" i="12"/>
  <c r="R79" i="12"/>
  <c r="R133" i="12"/>
  <c r="R126" i="12"/>
  <c r="R109" i="12"/>
  <c r="R111" i="12"/>
  <c r="R110" i="12"/>
  <c r="R118" i="12"/>
  <c r="R119" i="12"/>
  <c r="R20" i="12"/>
  <c r="R22" i="12"/>
  <c r="R21" i="12"/>
  <c r="R23" i="12"/>
  <c r="R113" i="12"/>
  <c r="R114" i="12"/>
  <c r="Q134" i="12"/>
  <c r="Q137" i="12" s="1"/>
  <c r="R103" i="12"/>
  <c r="R104" i="12"/>
  <c r="R105" i="12"/>
  <c r="R106" i="12"/>
  <c r="R52" i="12"/>
  <c r="R74" i="12"/>
  <c r="R75" i="12"/>
  <c r="R66" i="12"/>
  <c r="R90" i="12"/>
  <c r="R88" i="12"/>
  <c r="R87" i="12"/>
  <c r="R91" i="12"/>
  <c r="R89" i="12"/>
  <c r="R46" i="12"/>
  <c r="Q135" i="12"/>
  <c r="R82" i="12"/>
  <c r="R129" i="12"/>
  <c r="R130" i="12"/>
  <c r="G43" i="13" l="1"/>
  <c r="R41" i="12"/>
  <c r="C31" i="13" s="1"/>
  <c r="K28" i="13"/>
  <c r="C24" i="13"/>
  <c r="C22" i="13"/>
  <c r="C17" i="13"/>
  <c r="C27" i="13"/>
  <c r="C25" i="13"/>
  <c r="C26" i="13"/>
  <c r="C19" i="13"/>
  <c r="C21" i="13"/>
  <c r="R13" i="12"/>
  <c r="C16" i="13"/>
  <c r="R99" i="12"/>
  <c r="C18" i="13"/>
  <c r="C23" i="13"/>
  <c r="C29" i="13"/>
  <c r="C20" i="13"/>
  <c r="K6" i="13"/>
  <c r="R24" i="12"/>
  <c r="C14" i="13" s="1"/>
  <c r="J39" i="13"/>
  <c r="K9" i="13"/>
  <c r="C33" i="13"/>
  <c r="G30" i="13"/>
  <c r="G14" i="13"/>
  <c r="K8" i="13"/>
  <c r="K24" i="13"/>
  <c r="G41" i="13"/>
  <c r="G8" i="13"/>
  <c r="K20" i="13"/>
  <c r="G40" i="13"/>
  <c r="C40" i="13"/>
  <c r="K29" i="13"/>
  <c r="C7" i="13"/>
  <c r="G38" i="13"/>
  <c r="K21" i="13"/>
  <c r="K34" i="13"/>
  <c r="K5" i="13"/>
  <c r="K23" i="13"/>
  <c r="C8" i="13"/>
  <c r="K19" i="13"/>
  <c r="K15" i="13"/>
  <c r="G7" i="13"/>
  <c r="G33" i="13"/>
  <c r="C43" i="13"/>
  <c r="C38" i="13"/>
  <c r="G20" i="13"/>
  <c r="G18" i="13"/>
  <c r="K27" i="13"/>
  <c r="G27" i="13"/>
  <c r="K16" i="13"/>
  <c r="C39" i="13"/>
  <c r="C4" i="13"/>
  <c r="G44" i="13"/>
  <c r="G19" i="13"/>
  <c r="C15" i="13"/>
  <c r="G37" i="13"/>
  <c r="G42" i="13"/>
  <c r="C13" i="13"/>
  <c r="G9" i="13"/>
  <c r="G28" i="13"/>
  <c r="G12" i="13"/>
  <c r="C10" i="13"/>
  <c r="G4" i="13"/>
  <c r="C34" i="13"/>
  <c r="G25" i="13"/>
  <c r="C36" i="13"/>
  <c r="K18" i="13"/>
  <c r="K25" i="13"/>
  <c r="G16" i="13"/>
  <c r="C42" i="13"/>
  <c r="K37" i="13"/>
  <c r="G35" i="13"/>
  <c r="K11" i="13"/>
  <c r="C11" i="13"/>
  <c r="K31" i="13"/>
  <c r="C5" i="13"/>
  <c r="K30" i="13"/>
  <c r="G10" i="13"/>
  <c r="K4" i="13"/>
  <c r="C30" i="13"/>
  <c r="G32" i="13"/>
  <c r="K36" i="13"/>
  <c r="C37" i="13"/>
  <c r="G23" i="13"/>
  <c r="G22" i="13"/>
  <c r="G15" i="13"/>
  <c r="G39" i="13"/>
  <c r="K14" i="13"/>
  <c r="G11" i="13"/>
  <c r="G6" i="13"/>
  <c r="K35" i="13"/>
  <c r="G36" i="13"/>
  <c r="K10" i="13"/>
  <c r="C12" i="13"/>
  <c r="K38" i="13"/>
  <c r="G5" i="13"/>
  <c r="G26" i="13"/>
  <c r="K32" i="13"/>
  <c r="G17" i="13"/>
  <c r="K12" i="13"/>
  <c r="R16" i="12"/>
  <c r="R121" i="12"/>
  <c r="R81" i="12"/>
  <c r="R65" i="12"/>
  <c r="R51" i="12"/>
  <c r="R83" i="12"/>
  <c r="R45" i="12"/>
  <c r="R73" i="12"/>
  <c r="R97" i="12"/>
  <c r="R76" i="12"/>
  <c r="R117" i="12"/>
  <c r="R108" i="12"/>
  <c r="R102" i="12"/>
  <c r="R86" i="12"/>
  <c r="R112" i="12"/>
  <c r="R19" i="12"/>
  <c r="R128" i="12"/>
  <c r="C3" i="13" l="1"/>
  <c r="G34" i="13"/>
  <c r="G31" i="13"/>
  <c r="K7" i="13"/>
  <c r="C41" i="13"/>
  <c r="K13" i="13"/>
  <c r="G13" i="13"/>
  <c r="K22" i="13"/>
  <c r="G29" i="13"/>
  <c r="G24" i="13"/>
  <c r="K26" i="13"/>
  <c r="K3" i="13"/>
  <c r="C6" i="13"/>
  <c r="K33" i="13"/>
  <c r="C9" i="13"/>
  <c r="G21" i="13"/>
  <c r="K17" i="13"/>
  <c r="C35" i="13"/>
  <c r="R134" i="12"/>
  <c r="R135" i="12"/>
  <c r="K39" i="13" l="1"/>
  <c r="K43" i="13" s="1"/>
  <c r="C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Florida Housing</author>
    <author>Angie Sellers</author>
  </authors>
  <commentList>
    <comment ref="A25" authorId="0" shapeId="0" xr:uid="{00000000-0006-0000-0100-000001000000}">
      <text>
        <r>
          <rPr>
            <b/>
            <sz val="8"/>
            <color indexed="81"/>
            <rFont val="Tahoma"/>
            <family val="2"/>
          </rPr>
          <t>Florida Housing:</t>
        </r>
        <r>
          <rPr>
            <sz val="8"/>
            <color indexed="81"/>
            <rFont val="Tahoma"/>
            <family val="2"/>
          </rPr>
          <t xml:space="preserve">
</t>
        </r>
        <r>
          <rPr>
            <sz val="12"/>
            <color indexed="81"/>
            <rFont val="Tahoma"/>
            <family val="2"/>
          </rPr>
          <t xml:space="preserve">new CDBG 0809
</t>
        </r>
      </text>
    </comment>
    <comment ref="A54" authorId="1" shapeId="0" xr:uid="{00000000-0006-0000-0100-000002000000}">
      <text>
        <r>
          <rPr>
            <b/>
            <sz val="10"/>
            <color indexed="81"/>
            <rFont val="Tahoma"/>
            <family val="2"/>
          </rPr>
          <t>Angie Sellers:</t>
        </r>
        <r>
          <rPr>
            <sz val="10"/>
            <color indexed="81"/>
            <rFont val="Tahoma"/>
            <family val="2"/>
          </rPr>
          <t xml:space="preserve">
New 2009/2010</t>
        </r>
      </text>
    </comment>
    <comment ref="A90" authorId="0" shapeId="0" xr:uid="{00000000-0006-0000-0100-000003000000}">
      <text>
        <r>
          <rPr>
            <b/>
            <sz val="8"/>
            <color indexed="81"/>
            <rFont val="Tahoma"/>
            <family val="2"/>
          </rPr>
          <t>Florida Housing:</t>
        </r>
        <r>
          <rPr>
            <sz val="8"/>
            <color indexed="81"/>
            <rFont val="Tahoma"/>
            <family val="2"/>
          </rPr>
          <t xml:space="preserve">
</t>
        </r>
        <r>
          <rPr>
            <sz val="12"/>
            <color indexed="81"/>
            <rFont val="Tahoma"/>
            <family val="2"/>
          </rPr>
          <t xml:space="preserve">New CDBG City 07/08
</t>
        </r>
        <r>
          <rPr>
            <sz val="8"/>
            <color indexed="81"/>
            <rFont val="Tahoma"/>
            <family val="2"/>
          </rPr>
          <t xml:space="preserve">
</t>
        </r>
      </text>
    </comment>
  </commentList>
</comments>
</file>

<file path=xl/sharedStrings.xml><?xml version="1.0" encoding="utf-8"?>
<sst xmlns="http://schemas.openxmlformats.org/spreadsheetml/2006/main" count="1721" uniqueCount="641">
  <si>
    <t>ALACHUA</t>
  </si>
  <si>
    <t>BAKER</t>
  </si>
  <si>
    <t>BAY</t>
  </si>
  <si>
    <t>BRADFORD</t>
  </si>
  <si>
    <t>BREVARD</t>
  </si>
  <si>
    <t>BROWARD</t>
  </si>
  <si>
    <t>CALHOUN</t>
  </si>
  <si>
    <t>CHARLOTTE</t>
  </si>
  <si>
    <t>Punta Gorda</t>
  </si>
  <si>
    <t>CITRUS</t>
  </si>
  <si>
    <t>CLAY</t>
  </si>
  <si>
    <t>COLUMBIA</t>
  </si>
  <si>
    <t>DE 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</si>
  <si>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</si>
  <si>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</si>
  <si>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</si>
  <si>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</si>
  <si>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</si>
  <si>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</si>
  <si>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</si>
  <si>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</si>
  <si>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</si>
  <si>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</si>
  <si>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</si>
  <si>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</si>
  <si>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</si>
  <si>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</si>
  <si>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</si>
  <si>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</si>
  <si>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</si>
  <si>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</si>
  <si>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</si>
  <si>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</si>
  <si>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</si>
  <si>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</si>
  <si>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Cape Coral</t>
  </si>
  <si>
    <t>LEON</t>
  </si>
  <si>
    <t>Tallahassee</t>
  </si>
  <si>
    <t>LEVY</t>
  </si>
  <si>
    <t>LIBERTY</t>
  </si>
  <si>
    <t>MADISON</t>
  </si>
  <si>
    <t>MANATEE</t>
  </si>
  <si>
    <t>Bradenton</t>
  </si>
  <si>
    <t>MARION</t>
  </si>
  <si>
    <t>Ocala</t>
  </si>
  <si>
    <t>MARTIN</t>
  </si>
  <si>
    <t>MIAMI-DADE</t>
  </si>
  <si>
    <t>Hialeah</t>
  </si>
  <si>
    <t>Miami</t>
  </si>
  <si>
    <t>Miami Beach</t>
  </si>
  <si>
    <t>Miami Gardens</t>
  </si>
  <si>
    <t>North Miami</t>
  </si>
  <si>
    <t>MONROE</t>
  </si>
  <si>
    <t>NASSAU</t>
  </si>
  <si>
    <t>OKALOOSA</t>
  </si>
  <si>
    <t>OKEECHOBEE</t>
  </si>
  <si>
    <t>ORANGE</t>
  </si>
  <si>
    <t>OSCEOLA</t>
  </si>
  <si>
    <t>PALM BEACH</t>
  </si>
  <si>
    <t>Boca Raton</t>
  </si>
  <si>
    <t>Boynton Beach</t>
  </si>
  <si>
    <t>Delray Beach</t>
  </si>
  <si>
    <t>West Palm Beach</t>
  </si>
  <si>
    <t>PASCO</t>
  </si>
  <si>
    <t>PINELLAS</t>
  </si>
  <si>
    <t>Clearwater</t>
  </si>
  <si>
    <t>Largo</t>
  </si>
  <si>
    <t>St. Petersburg</t>
  </si>
  <si>
    <t>POLK</t>
  </si>
  <si>
    <t>Lakeland</t>
  </si>
  <si>
    <t>PUTNAM</t>
  </si>
  <si>
    <t>ST. JOHNS</t>
  </si>
  <si>
    <t>ST. LUCIE</t>
  </si>
  <si>
    <t>Port St. Lucie</t>
  </si>
  <si>
    <t>SANTA ROSA</t>
  </si>
  <si>
    <t>SARASOTA</t>
  </si>
  <si>
    <t>SEMINOLE</t>
  </si>
  <si>
    <t>SUMTER</t>
  </si>
  <si>
    <t>SUWANNEE</t>
  </si>
  <si>
    <t>TAYLOR</t>
  </si>
  <si>
    <t>UNION</t>
  </si>
  <si>
    <t>VOLUSIA</t>
  </si>
  <si>
    <t>Daytona Beach</t>
  </si>
  <si>
    <t>Deltona</t>
  </si>
  <si>
    <t>WAKULLA</t>
  </si>
  <si>
    <t>WALTON</t>
  </si>
  <si>
    <t>WASHINGTON</t>
  </si>
  <si>
    <t xml:space="preserve"> </t>
  </si>
  <si>
    <t>Deerfield Beach</t>
  </si>
  <si>
    <t>Cocoa</t>
  </si>
  <si>
    <t>Melbourne</t>
  </si>
  <si>
    <t>Palm Bay</t>
  </si>
  <si>
    <t>Titusville</t>
  </si>
  <si>
    <t>POPULATION DATA</t>
  </si>
  <si>
    <t>Minimum</t>
  </si>
  <si>
    <t>Net due</t>
  </si>
  <si>
    <t>SHIP PROGRAM ALLOCATION</t>
  </si>
  <si>
    <t>Population Est.</t>
  </si>
  <si>
    <t>COUNTY</t>
  </si>
  <si>
    <t xml:space="preserve">COUNTY/CDGB </t>
  </si>
  <si>
    <t>CDGB CITIES</t>
  </si>
  <si>
    <t>POPULATION</t>
  </si>
  <si>
    <t>POPULATION %</t>
  </si>
  <si>
    <t>New Dime</t>
  </si>
  <si>
    <t>Trans. Dime</t>
  </si>
  <si>
    <t>% TO STATE</t>
  </si>
  <si>
    <t>W/IN COUNTY</t>
  </si>
  <si>
    <t>AMT &gt;</t>
  </si>
  <si>
    <t>COUNTY %</t>
  </si>
  <si>
    <t>COUNTY / 
CDBG CITIES</t>
  </si>
  <si>
    <t>TOTAL COUNTY ALLOCATION</t>
  </si>
  <si>
    <t>COUNTY SHARE / 
CITY SHARE</t>
  </si>
  <si>
    <t>SPLIT CALCULATION</t>
  </si>
  <si>
    <t>w/out  Dade</t>
  </si>
  <si>
    <t>With Dade</t>
  </si>
  <si>
    <t>&gt; 116,165</t>
  </si>
  <si>
    <t>&gt;233,835</t>
  </si>
  <si>
    <t>County ID</t>
  </si>
  <si>
    <t>Local Government Housing TF</t>
  </si>
  <si>
    <t>*</t>
  </si>
  <si>
    <t>=</t>
  </si>
  <si>
    <t>Gainesville</t>
  </si>
  <si>
    <t>Total allocation for LGHTF</t>
  </si>
  <si>
    <t>Panama City</t>
  </si>
  <si>
    <t>Coconut Creek</t>
  </si>
  <si>
    <t>Coral Springs</t>
  </si>
  <si>
    <t>Davie</t>
  </si>
  <si>
    <t>Hollywood</t>
  </si>
  <si>
    <t>Lauderhill</t>
  </si>
  <si>
    <t>Margate</t>
  </si>
  <si>
    <t>Miramar</t>
  </si>
  <si>
    <t>Pembroke Pines</t>
  </si>
  <si>
    <t>Plantation</t>
  </si>
  <si>
    <t>Pompano Beach</t>
  </si>
  <si>
    <t>Sunrise</t>
  </si>
  <si>
    <t>Tamarac</t>
  </si>
  <si>
    <t>COLLIER</t>
  </si>
  <si>
    <t>Naples</t>
  </si>
  <si>
    <t>Pensacola</t>
  </si>
  <si>
    <t>Palm Coast</t>
  </si>
  <si>
    <t>Tampa</t>
  </si>
  <si>
    <t>Orlando</t>
  </si>
  <si>
    <t>Kissimmee</t>
  </si>
  <si>
    <t>Winter Haven</t>
  </si>
  <si>
    <t xml:space="preserve">Sarasota </t>
  </si>
  <si>
    <t>Total</t>
  </si>
  <si>
    <t>Total with Miami-Dade</t>
  </si>
  <si>
    <t>Total without Miami-Dade</t>
  </si>
  <si>
    <t>Adjustments</t>
  </si>
  <si>
    <t>w/o Dade - new dime</t>
  </si>
  <si>
    <t>Number of counties</t>
  </si>
  <si>
    <t>Minimum payment</t>
  </si>
  <si>
    <t>Total allocation</t>
  </si>
  <si>
    <t>Amount of excess</t>
  </si>
  <si>
    <t>with Dade - transferred dime</t>
  </si>
  <si>
    <t>Unincorporated</t>
  </si>
  <si>
    <t>Lee</t>
  </si>
  <si>
    <t>Seminole</t>
  </si>
  <si>
    <t>Florida</t>
  </si>
  <si>
    <t>Incorporated</t>
  </si>
  <si>
    <t>Notes:</t>
  </si>
  <si>
    <t xml:space="preserve">Uses same governments as last distribution.  </t>
  </si>
  <si>
    <t>Should appropriation be received in the amounts shown, actual allocations among</t>
  </si>
  <si>
    <t>local governments may vary.</t>
  </si>
  <si>
    <t>TOTAL</t>
  </si>
  <si>
    <t>Wausau</t>
  </si>
  <si>
    <t>Vernon</t>
  </si>
  <si>
    <t>Ebro</t>
  </si>
  <si>
    <t>Chipley</t>
  </si>
  <si>
    <t>Caryville</t>
  </si>
  <si>
    <t>Paxton</t>
  </si>
  <si>
    <t>Freeport</t>
  </si>
  <si>
    <t>DeFuniak Springs</t>
  </si>
  <si>
    <t>Sopchoppy</t>
  </si>
  <si>
    <t>St. Marks</t>
  </si>
  <si>
    <t>South Daytona</t>
  </si>
  <si>
    <t>Port Orange</t>
  </si>
  <si>
    <t>Ponce Inlet</t>
  </si>
  <si>
    <t>Pierson</t>
  </si>
  <si>
    <t>Ormond Beach</t>
  </si>
  <si>
    <t>Orange City</t>
  </si>
  <si>
    <t>Oak Hill</t>
  </si>
  <si>
    <t>New Smyrna Beach</t>
  </si>
  <si>
    <t>Lake Helen</t>
  </si>
  <si>
    <t>Holly Hill</t>
  </si>
  <si>
    <t>Flagler Beach (part)</t>
  </si>
  <si>
    <t>Edgewater</t>
  </si>
  <si>
    <t>DeLand</t>
  </si>
  <si>
    <t>DeBary</t>
  </si>
  <si>
    <t>Daytona Beach Shores</t>
  </si>
  <si>
    <t>Worthington Springs</t>
  </si>
  <si>
    <t>Raiford</t>
  </si>
  <si>
    <t>Lake Butler</t>
  </si>
  <si>
    <t>Perry</t>
  </si>
  <si>
    <t>Live Oak</t>
  </si>
  <si>
    <t>Branford</t>
  </si>
  <si>
    <t>Wildwood</t>
  </si>
  <si>
    <t>Webster</t>
  </si>
  <si>
    <t>Coleman</t>
  </si>
  <si>
    <t>Center Hill</t>
  </si>
  <si>
    <t>Bushnell</t>
  </si>
  <si>
    <t>Winter Springs</t>
  </si>
  <si>
    <t>Sanford</t>
  </si>
  <si>
    <t>Oviedo</t>
  </si>
  <si>
    <t>Longwood</t>
  </si>
  <si>
    <t>Lake Mary</t>
  </si>
  <si>
    <t>Casselberry</t>
  </si>
  <si>
    <t>Altamonte Springs</t>
  </si>
  <si>
    <t>Venice</t>
  </si>
  <si>
    <t>North Port</t>
  </si>
  <si>
    <t>Longboat Key (part)</t>
  </si>
  <si>
    <t>Milton</t>
  </si>
  <si>
    <t>Jay</t>
  </si>
  <si>
    <t>Gulf Breeze</t>
  </si>
  <si>
    <t>St. Lucie Village</t>
  </si>
  <si>
    <t>St. Augustine Beach</t>
  </si>
  <si>
    <t>St. Augustine</t>
  </si>
  <si>
    <t>Marineland (part)</t>
  </si>
  <si>
    <t>Welaka</t>
  </si>
  <si>
    <t>Pomona Park</t>
  </si>
  <si>
    <t>Palatka</t>
  </si>
  <si>
    <t>Interlachen</t>
  </si>
  <si>
    <t>Crescent City</t>
  </si>
  <si>
    <t>Polk City</t>
  </si>
  <si>
    <t>Mulberry</t>
  </si>
  <si>
    <t>Lake Wales</t>
  </si>
  <si>
    <t>Lake Hamilton</t>
  </si>
  <si>
    <t>Lake Alfred</t>
  </si>
  <si>
    <t>Hillcrest Heights</t>
  </si>
  <si>
    <t>Highland Park</t>
  </si>
  <si>
    <t>Haines City</t>
  </si>
  <si>
    <t>Frostproof</t>
  </si>
  <si>
    <t>Eagle Lake</t>
  </si>
  <si>
    <t>Dundee</t>
  </si>
  <si>
    <t>Davenport</t>
  </si>
  <si>
    <t>Bartow</t>
  </si>
  <si>
    <t>Auburndale</t>
  </si>
  <si>
    <t>Treasure Island</t>
  </si>
  <si>
    <t>Tarpon Springs</t>
  </si>
  <si>
    <t>South Pasadena</t>
  </si>
  <si>
    <t>St. Pete Beach</t>
  </si>
  <si>
    <t>Safety Harbor</t>
  </si>
  <si>
    <t>Redington Shores</t>
  </si>
  <si>
    <t>Redington Beach</t>
  </si>
  <si>
    <t>Pinellas Park</t>
  </si>
  <si>
    <t>Oldsmar</t>
  </si>
  <si>
    <t>North Redington Beach</t>
  </si>
  <si>
    <t>Madeira Beach</t>
  </si>
  <si>
    <t>Kenneth City</t>
  </si>
  <si>
    <t>Indian Shores</t>
  </si>
  <si>
    <t>Indian Rocks Beach</t>
  </si>
  <si>
    <t>Gulfport</t>
  </si>
  <si>
    <t>Dunedin</t>
  </si>
  <si>
    <t>Belleair Shore</t>
  </si>
  <si>
    <t>Belleair Bluffs</t>
  </si>
  <si>
    <t>Belleair Beach</t>
  </si>
  <si>
    <t>Belleair</t>
  </si>
  <si>
    <t>Zephyrhills</t>
  </si>
  <si>
    <t>San Antonio</t>
  </si>
  <si>
    <t>St. Leo</t>
  </si>
  <si>
    <t>Port Richey</t>
  </si>
  <si>
    <t>New Port Richey</t>
  </si>
  <si>
    <t>Dade City</t>
  </si>
  <si>
    <t>Wellington</t>
  </si>
  <si>
    <t>Tequesta</t>
  </si>
  <si>
    <t>South Palm Beach</t>
  </si>
  <si>
    <t>South Bay</t>
  </si>
  <si>
    <t>Royal Palm Beach</t>
  </si>
  <si>
    <t>Riviera Beach</t>
  </si>
  <si>
    <t>Palm Springs</t>
  </si>
  <si>
    <t>Palm Beach Shores</t>
  </si>
  <si>
    <t>Palm Beach Gardens</t>
  </si>
  <si>
    <t>Pahokee</t>
  </si>
  <si>
    <t>Ocean Ridge</t>
  </si>
  <si>
    <t>North Palm Beach</t>
  </si>
  <si>
    <t>Mangonia Park</t>
  </si>
  <si>
    <t>Manalapan</t>
  </si>
  <si>
    <t>Loxahatchee Groves</t>
  </si>
  <si>
    <t>Lantana</t>
  </si>
  <si>
    <t>Lake Worth</t>
  </si>
  <si>
    <t>Lake Park</t>
  </si>
  <si>
    <t>Lake Clarke Shores</t>
  </si>
  <si>
    <t>Jupiter Inlet Colony</t>
  </si>
  <si>
    <t>Jupiter</t>
  </si>
  <si>
    <t>Juno Beach</t>
  </si>
  <si>
    <t>Hypoluxo</t>
  </si>
  <si>
    <t>Highland Beach</t>
  </si>
  <si>
    <t>Haverhill</t>
  </si>
  <si>
    <t>Gulf Stream</t>
  </si>
  <si>
    <t>Greenacres</t>
  </si>
  <si>
    <t>Golf</t>
  </si>
  <si>
    <t>Glen Ridge</t>
  </si>
  <si>
    <t>Cloud Lake</t>
  </si>
  <si>
    <t>Briny Breezes</t>
  </si>
  <si>
    <t>Belle Glade</t>
  </si>
  <si>
    <t>Atlantis</t>
  </si>
  <si>
    <t>St. Cloud</t>
  </si>
  <si>
    <t>Winter Park</t>
  </si>
  <si>
    <t>Winter Garden</t>
  </si>
  <si>
    <t>Windermere</t>
  </si>
  <si>
    <t>Ocoee</t>
  </si>
  <si>
    <t>Oakland</t>
  </si>
  <si>
    <t>Maitland</t>
  </si>
  <si>
    <t>Lake Buena Vista</t>
  </si>
  <si>
    <t>Edgewood</t>
  </si>
  <si>
    <t>Eatonville</t>
  </si>
  <si>
    <t>Belle Isle</t>
  </si>
  <si>
    <t>Bay Lake</t>
  </si>
  <si>
    <t>Apopka</t>
  </si>
  <si>
    <t>Valparaiso</t>
  </si>
  <si>
    <t>Shalimar</t>
  </si>
  <si>
    <t>Niceville</t>
  </si>
  <si>
    <t>Mary Esther</t>
  </si>
  <si>
    <t>Laurel Hill</t>
  </si>
  <si>
    <t>Destin</t>
  </si>
  <si>
    <t>Crestview</t>
  </si>
  <si>
    <t>Cinco Bayou</t>
  </si>
  <si>
    <t>Hilliard</t>
  </si>
  <si>
    <t>Fernandina Beach</t>
  </si>
  <si>
    <t>Callahan</t>
  </si>
  <si>
    <t>Marathon</t>
  </si>
  <si>
    <t>Layton</t>
  </si>
  <si>
    <t>Key West</t>
  </si>
  <si>
    <t>Key Colony Beach</t>
  </si>
  <si>
    <t>West Miami</t>
  </si>
  <si>
    <t>Virginia Gardens</t>
  </si>
  <si>
    <t>Sweetwater</t>
  </si>
  <si>
    <t>Surfside</t>
  </si>
  <si>
    <t>Sunny Isles Beach</t>
  </si>
  <si>
    <t>South Miami</t>
  </si>
  <si>
    <t>Pinecrest</t>
  </si>
  <si>
    <t>Palmetto Bay</t>
  </si>
  <si>
    <t>Opa-locka</t>
  </si>
  <si>
    <t>North Miami Beach</t>
  </si>
  <si>
    <t>North Bay Village</t>
  </si>
  <si>
    <t>Miami Springs</t>
  </si>
  <si>
    <t>Miami Shores</t>
  </si>
  <si>
    <t>Miami Lakes</t>
  </si>
  <si>
    <t>Medley</t>
  </si>
  <si>
    <t>Key Biscayne</t>
  </si>
  <si>
    <t>Indian Creek</t>
  </si>
  <si>
    <t>Homestead</t>
  </si>
  <si>
    <t>Hialeah Gardens</t>
  </si>
  <si>
    <t>Golden Beach</t>
  </si>
  <si>
    <t>Florida City</t>
  </si>
  <si>
    <t>El Portal</t>
  </si>
  <si>
    <t>Doral</t>
  </si>
  <si>
    <t>Cutler Bay</t>
  </si>
  <si>
    <t>Coral Gables</t>
  </si>
  <si>
    <t>Biscayne Park</t>
  </si>
  <si>
    <t>Bay Harbor Islands</t>
  </si>
  <si>
    <t>Bal Harbour</t>
  </si>
  <si>
    <t>Aventura</t>
  </si>
  <si>
    <t>Stuart</t>
  </si>
  <si>
    <t>Sewall's Point</t>
  </si>
  <si>
    <t>Jupiter Island</t>
  </si>
  <si>
    <t>Reddick</t>
  </si>
  <si>
    <t>McIntosh</t>
  </si>
  <si>
    <t>Dunnellon</t>
  </si>
  <si>
    <t>Belleview</t>
  </si>
  <si>
    <t>Palmetto</t>
  </si>
  <si>
    <t>Holmes Beach</t>
  </si>
  <si>
    <t>Bradenton Beach</t>
  </si>
  <si>
    <t>Anna Maria</t>
  </si>
  <si>
    <t>Greenville</t>
  </si>
  <si>
    <t>Bristol</t>
  </si>
  <si>
    <t>Yankeetown</t>
  </si>
  <si>
    <t>Williston</t>
  </si>
  <si>
    <t>Otter Creek</t>
  </si>
  <si>
    <t>Inglis</t>
  </si>
  <si>
    <t>Fanning Springs (part)</t>
  </si>
  <si>
    <t>Chiefland</t>
  </si>
  <si>
    <t>Cedar Key</t>
  </si>
  <si>
    <t>Bronson</t>
  </si>
  <si>
    <t>Sanibel</t>
  </si>
  <si>
    <t>Bonita Springs</t>
  </si>
  <si>
    <t>Umatilla</t>
  </si>
  <si>
    <t>Tavares</t>
  </si>
  <si>
    <t>Mount Dora</t>
  </si>
  <si>
    <t>Montverde</t>
  </si>
  <si>
    <t>Minneola</t>
  </si>
  <si>
    <t>Mascotte</t>
  </si>
  <si>
    <t>Leesburg</t>
  </si>
  <si>
    <t>Lady Lake</t>
  </si>
  <si>
    <t>Howey-in-the-Hills</t>
  </si>
  <si>
    <t>Groveland</t>
  </si>
  <si>
    <t>Fruitland Park</t>
  </si>
  <si>
    <t>Eustis</t>
  </si>
  <si>
    <t>Clermont</t>
  </si>
  <si>
    <t>Astatula</t>
  </si>
  <si>
    <t>Mayo</t>
  </si>
  <si>
    <t>Monticello</t>
  </si>
  <si>
    <t>Sneads</t>
  </si>
  <si>
    <t>Marianna</t>
  </si>
  <si>
    <t>Malone</t>
  </si>
  <si>
    <t>Jacob City</t>
  </si>
  <si>
    <t>Greenwood</t>
  </si>
  <si>
    <t>Grand Ridge</t>
  </si>
  <si>
    <t>Graceville</t>
  </si>
  <si>
    <t>Cottondale</t>
  </si>
  <si>
    <t>Campbellton</t>
  </si>
  <si>
    <t>Bascom</t>
  </si>
  <si>
    <t>Alford</t>
  </si>
  <si>
    <t>Vero Beach</t>
  </si>
  <si>
    <t>Sebastian</t>
  </si>
  <si>
    <t>Orchid</t>
  </si>
  <si>
    <t>Indian River Shores</t>
  </si>
  <si>
    <t>Fellsmere</t>
  </si>
  <si>
    <t>Westville</t>
  </si>
  <si>
    <t>Ponce de Leon</t>
  </si>
  <si>
    <t>Noma</t>
  </si>
  <si>
    <t>Esto</t>
  </si>
  <si>
    <t>Bonifay</t>
  </si>
  <si>
    <t>Temple Terrace</t>
  </si>
  <si>
    <t>Plant City</t>
  </si>
  <si>
    <t>Sebring</t>
  </si>
  <si>
    <t>Lake Placid</t>
  </si>
  <si>
    <t>Avon Park</t>
  </si>
  <si>
    <t>Weeki Wachee</t>
  </si>
  <si>
    <t>Brooksville</t>
  </si>
  <si>
    <t>LaBelle</t>
  </si>
  <si>
    <t>Clewiston</t>
  </si>
  <si>
    <t>Zolfo Springs</t>
  </si>
  <si>
    <t>Wauchula</t>
  </si>
  <si>
    <t>Bowling Green</t>
  </si>
  <si>
    <t>White Springs</t>
  </si>
  <si>
    <t>Jennings</t>
  </si>
  <si>
    <t>Jasper</t>
  </si>
  <si>
    <t>Wewahitchka</t>
  </si>
  <si>
    <t>Port St. Joe</t>
  </si>
  <si>
    <t>Moore Haven</t>
  </si>
  <si>
    <t>Trenton</t>
  </si>
  <si>
    <t>Bell</t>
  </si>
  <si>
    <t>Quincy</t>
  </si>
  <si>
    <t>Midway</t>
  </si>
  <si>
    <t>Havana</t>
  </si>
  <si>
    <t>Gretna</t>
  </si>
  <si>
    <t>Greensboro</t>
  </si>
  <si>
    <t>Chattahoochee</t>
  </si>
  <si>
    <t>Carrabelle</t>
  </si>
  <si>
    <t>Apalachicola</t>
  </si>
  <si>
    <t>Bunnell</t>
  </si>
  <si>
    <t>Beverly Beach</t>
  </si>
  <si>
    <t>Century</t>
  </si>
  <si>
    <t>Neptune Beach</t>
  </si>
  <si>
    <t>Jacksonville Beach</t>
  </si>
  <si>
    <t>Jacksonville</t>
  </si>
  <si>
    <t>Baldwin</t>
  </si>
  <si>
    <t>Atlantic Beach</t>
  </si>
  <si>
    <t>Horseshoe Beach</t>
  </si>
  <si>
    <t>Cross City</t>
  </si>
  <si>
    <t>Arcadia</t>
  </si>
  <si>
    <t>Lake City</t>
  </si>
  <si>
    <t>Marco Island</t>
  </si>
  <si>
    <t>Everglades</t>
  </si>
  <si>
    <t>Penney Farms</t>
  </si>
  <si>
    <t>Orange Park</t>
  </si>
  <si>
    <t>Keystone Heights</t>
  </si>
  <si>
    <t>Green Cove Springs</t>
  </si>
  <si>
    <t>Inverness</t>
  </si>
  <si>
    <t>Crystal River</t>
  </si>
  <si>
    <t>Blountstown</t>
  </si>
  <si>
    <t>Altha</t>
  </si>
  <si>
    <t>Wilton Manors</t>
  </si>
  <si>
    <t>West Park</t>
  </si>
  <si>
    <t>Weston</t>
  </si>
  <si>
    <t>Southwest Ranches</t>
  </si>
  <si>
    <t>Sea Ranch Lakes</t>
  </si>
  <si>
    <t>Pembroke Park</t>
  </si>
  <si>
    <t>Parkland</t>
  </si>
  <si>
    <t>Oakland Park</t>
  </si>
  <si>
    <t>North Lauderdale</t>
  </si>
  <si>
    <t>Lighthouse Point</t>
  </si>
  <si>
    <t>Lazy Lake</t>
  </si>
  <si>
    <t>Lauderdale Lakes</t>
  </si>
  <si>
    <t>Lauderdale-By-The-Sea</t>
  </si>
  <si>
    <t>Hillsboro Beach</t>
  </si>
  <si>
    <t>Hallandale Beach</t>
  </si>
  <si>
    <t>Dania Beach</t>
  </si>
  <si>
    <t>Cooper City</t>
  </si>
  <si>
    <t>West Melbourne</t>
  </si>
  <si>
    <t>Satellite Beach</t>
  </si>
  <si>
    <t>Rockledge</t>
  </si>
  <si>
    <t>Palm Shores</t>
  </si>
  <si>
    <t>Melbourne Village</t>
  </si>
  <si>
    <t>Melbourne Beach</t>
  </si>
  <si>
    <t>Malabar</t>
  </si>
  <si>
    <t>Indian Harbour Beach</t>
  </si>
  <si>
    <t>Indialantic</t>
  </si>
  <si>
    <t>Grant-Valkaria</t>
  </si>
  <si>
    <t>Cocoa Beach</t>
  </si>
  <si>
    <t>Cape Canaveral</t>
  </si>
  <si>
    <t>Starke</t>
  </si>
  <si>
    <t>Lawtey</t>
  </si>
  <si>
    <t>Hampton</t>
  </si>
  <si>
    <t>Brooker</t>
  </si>
  <si>
    <t>Springfield</t>
  </si>
  <si>
    <t>Parker</t>
  </si>
  <si>
    <t>Panama City Beach</t>
  </si>
  <si>
    <t>Mexico Beach</t>
  </si>
  <si>
    <t>Lynn Haven</t>
  </si>
  <si>
    <t>Callaway</t>
  </si>
  <si>
    <t>Macclenny</t>
  </si>
  <si>
    <t>Glen St. Mary</t>
  </si>
  <si>
    <t>Waldo</t>
  </si>
  <si>
    <t>Newberry</t>
  </si>
  <si>
    <t>Micanopy</t>
  </si>
  <si>
    <t>La Crosse</t>
  </si>
  <si>
    <t>High Springs</t>
  </si>
  <si>
    <t>Hawthorne</t>
  </si>
  <si>
    <t>Archer</t>
  </si>
  <si>
    <t>DESOTO</t>
  </si>
  <si>
    <t>Local Government</t>
  </si>
  <si>
    <t>County Total</t>
  </si>
  <si>
    <t>County Share/
City Share</t>
  </si>
  <si>
    <t>Alachua</t>
  </si>
  <si>
    <t>Madison</t>
  </si>
  <si>
    <t>Ocean Breeze</t>
  </si>
  <si>
    <t>Okeechobee</t>
  </si>
  <si>
    <t>Palm Beach</t>
  </si>
  <si>
    <t>201.15(4)(c)(2)</t>
  </si>
  <si>
    <t>201.15(4)(d)(2)</t>
  </si>
  <si>
    <t>SB 2516A - Amendment 1 Implementaiton</t>
  </si>
  <si>
    <t/>
  </si>
  <si>
    <t>Islamorada, Village of Islands</t>
  </si>
  <si>
    <t>Total Change</t>
  </si>
  <si>
    <r>
      <t>Formula in G:  =UPPER(A</t>
    </r>
    <r>
      <rPr>
        <i/>
        <sz val="11"/>
        <color rgb="FF0070C0"/>
        <rFont val="Calibri"/>
        <family val="2"/>
        <scheme val="minor"/>
      </rPr>
      <t>row</t>
    </r>
    <r>
      <rPr>
        <sz val="11"/>
        <color theme="1"/>
        <rFont val="Calibri"/>
        <family val="2"/>
        <scheme val="minor"/>
      </rPr>
      <t>)</t>
    </r>
  </si>
  <si>
    <t>Unfilter</t>
  </si>
  <si>
    <t>Copy/Paste Values entire Column G</t>
  </si>
  <si>
    <t>Filer on the word County in A</t>
  </si>
  <si>
    <r>
      <t>Replace the County Name in A with: =G</t>
    </r>
    <r>
      <rPr>
        <i/>
        <sz val="11"/>
        <color rgb="FF0070C0"/>
        <rFont val="Calibri"/>
        <family val="2"/>
        <scheme val="minor"/>
      </rPr>
      <t>row</t>
    </r>
  </si>
  <si>
    <t>Copy/Paste Values entire Column A</t>
  </si>
  <si>
    <t>Delete all contents in Column G</t>
  </si>
  <si>
    <t>&lt;-- DO THESE STEPS IN ORDER!</t>
  </si>
  <si>
    <t>S</t>
  </si>
  <si>
    <t>M</t>
  </si>
  <si>
    <t>L</t>
  </si>
  <si>
    <t>Baker</t>
  </si>
  <si>
    <t>Bay</t>
  </si>
  <si>
    <t>Bradford</t>
  </si>
  <si>
    <t>Brevard</t>
  </si>
  <si>
    <t>Broward</t>
  </si>
  <si>
    <t>Calhoun</t>
  </si>
  <si>
    <t>Charlotte</t>
  </si>
  <si>
    <t>Citrus</t>
  </si>
  <si>
    <t>Clay</t>
  </si>
  <si>
    <t>Collier</t>
  </si>
  <si>
    <t>Columbia</t>
  </si>
  <si>
    <t>De Soto</t>
  </si>
  <si>
    <t>Dixie</t>
  </si>
  <si>
    <t>Duval</t>
  </si>
  <si>
    <t>Escambia</t>
  </si>
  <si>
    <t>Flagler</t>
  </si>
  <si>
    <t>Franklin</t>
  </si>
  <si>
    <t>Gadsden</t>
  </si>
  <si>
    <t>Gilchrist</t>
  </si>
  <si>
    <t>Glades</t>
  </si>
  <si>
    <t>Gulf</t>
  </si>
  <si>
    <t>Hardee</t>
  </si>
  <si>
    <t>Hendry</t>
  </si>
  <si>
    <t>Hernando</t>
  </si>
  <si>
    <t>Highlands</t>
  </si>
  <si>
    <t>Hillsborough</t>
  </si>
  <si>
    <t>Holmes</t>
  </si>
  <si>
    <t>Indian River</t>
  </si>
  <si>
    <t>Jackson</t>
  </si>
  <si>
    <t>Jefferson</t>
  </si>
  <si>
    <t>Lafayette</t>
  </si>
  <si>
    <t>Lake</t>
  </si>
  <si>
    <t>Leon</t>
  </si>
  <si>
    <t>Levy</t>
  </si>
  <si>
    <t>Liberty</t>
  </si>
  <si>
    <t>Manatee</t>
  </si>
  <si>
    <t>Marion</t>
  </si>
  <si>
    <t>Martin</t>
  </si>
  <si>
    <t>Miami-Dade</t>
  </si>
  <si>
    <t>Monroe</t>
  </si>
  <si>
    <t>Nassau</t>
  </si>
  <si>
    <t>Orange</t>
  </si>
  <si>
    <t>Osceola</t>
  </si>
  <si>
    <t>Pasco</t>
  </si>
  <si>
    <t>Pinellas</t>
  </si>
  <si>
    <t>Polk</t>
  </si>
  <si>
    <t>Putnam</t>
  </si>
  <si>
    <t>Santa Rosa</t>
  </si>
  <si>
    <t>Sarasota</t>
  </si>
  <si>
    <t>Sumter</t>
  </si>
  <si>
    <t>Suwannee</t>
  </si>
  <si>
    <t>Taylor</t>
  </si>
  <si>
    <t>Union</t>
  </si>
  <si>
    <t>Volusia</t>
  </si>
  <si>
    <t>Wakulla</t>
  </si>
  <si>
    <t>Walton</t>
  </si>
  <si>
    <t>From Jean Salmonsen - 11/9/2018</t>
  </si>
  <si>
    <t>county</t>
  </si>
  <si>
    <t>SML</t>
  </si>
  <si>
    <t>Hamilton</t>
  </si>
  <si>
    <t>Okaloosa</t>
  </si>
  <si>
    <t>St. Johns</t>
  </si>
  <si>
    <t>St. Lucie</t>
  </si>
  <si>
    <t>Washington</t>
  </si>
  <si>
    <t>Fort Lauderdale</t>
  </si>
  <si>
    <t>Fort White</t>
  </si>
  <si>
    <t>Fort Myers</t>
  </si>
  <si>
    <t>Fort Myers Beach</t>
  </si>
  <si>
    <t>Fort Walton Beach</t>
  </si>
  <si>
    <t>Fort Meade</t>
  </si>
  <si>
    <t>Fort Pierce</t>
  </si>
  <si>
    <r>
      <rPr>
        <vertAlign val="superscript"/>
        <sz val="10"/>
        <color theme="1"/>
        <rFont val="Calibri"/>
        <family val="2"/>
        <scheme val="minor"/>
      </rPr>
      <t>1</t>
    </r>
    <r>
      <rPr>
        <sz val="10"/>
        <color theme="1"/>
        <rFont val="Calibri"/>
        <family val="2"/>
        <scheme val="minor"/>
      </rPr>
      <t> The April 1, 2010 census counts include all corrections resulting from the U.S. Census Bureau's 2010 Census Count Question Resolution (CQR) Program received by the Florida Legislative Office of Economic and Demographic Research as of February 11, 2014.</t>
    </r>
  </si>
  <si>
    <r>
      <rPr>
        <vertAlign val="superscript"/>
        <sz val="10"/>
        <color theme="1"/>
        <rFont val="Calibri"/>
        <family val="2"/>
        <scheme val="minor"/>
      </rPr>
      <t>2</t>
    </r>
    <r>
      <rPr>
        <sz val="10"/>
        <color theme="1"/>
        <rFont val="Calibri"/>
        <family val="2"/>
        <scheme val="minor"/>
      </rPr>
      <t> The city of Estero was incorporated as of December 31, 2014.</t>
    </r>
  </si>
  <si>
    <r>
      <rPr>
        <vertAlign val="superscript"/>
        <sz val="10"/>
        <color theme="1"/>
        <rFont val="Calibri"/>
        <family val="2"/>
        <scheme val="minor"/>
      </rPr>
      <t>3</t>
    </r>
    <r>
      <rPr>
        <sz val="10"/>
        <color theme="1"/>
        <rFont val="Calibri"/>
        <family val="2"/>
        <scheme val="minor"/>
      </rPr>
      <t> The village of Indiantown was incorporated as of December 31, 2017.</t>
    </r>
  </si>
  <si>
    <r>
      <rPr>
        <vertAlign val="superscript"/>
        <sz val="10"/>
        <color theme="1"/>
        <rFont val="Calibri"/>
        <family val="2"/>
        <scheme val="minor"/>
      </rPr>
      <t>4</t>
    </r>
    <r>
      <rPr>
        <sz val="10"/>
        <color theme="1"/>
        <rFont val="Calibri"/>
        <family val="2"/>
        <scheme val="minor"/>
      </rPr>
      <t> The city of Islandia was disincorporated as of March 6, 2012.</t>
    </r>
  </si>
  <si>
    <r>
      <rPr>
        <vertAlign val="superscript"/>
        <sz val="10"/>
        <color theme="1"/>
        <rFont val="Calibri"/>
        <family val="2"/>
        <scheme val="minor"/>
      </rPr>
      <t>5</t>
    </r>
    <r>
      <rPr>
        <sz val="10"/>
        <color theme="1"/>
        <rFont val="Calibri"/>
        <family val="2"/>
        <scheme val="minor"/>
      </rPr>
      <t> The city of Westlake was incorporated as of June 20, 2016.</t>
    </r>
  </si>
  <si>
    <r>
      <rPr>
        <vertAlign val="superscript"/>
        <sz val="10"/>
        <color theme="1"/>
        <rFont val="Calibri"/>
        <family val="2"/>
        <scheme val="minor"/>
      </rPr>
      <t>6</t>
    </r>
    <r>
      <rPr>
        <sz val="10"/>
        <color theme="1"/>
        <rFont val="Calibri"/>
        <family val="2"/>
        <scheme val="minor"/>
      </rPr>
      <t> The city of Hastings was disincorporated as of February 28, 2018.</t>
    </r>
  </si>
  <si>
    <t xml:space="preserve">1.  Make county names all cap  =UPPER()  See instructions beginning J4
2.  Remove:  " County" in column A (note:  remember the SPACE before County)
3.  Add space after Sarasota (city, not county) </t>
  </si>
  <si>
    <t>Less: DR</t>
  </si>
  <si>
    <t>DR Holdback</t>
  </si>
  <si>
    <t>Compliance Monitoring</t>
  </si>
  <si>
    <t>Total appropriation</t>
  </si>
  <si>
    <t>Less: Monitoring</t>
  </si>
  <si>
    <t>As of 04/01/18</t>
  </si>
  <si>
    <t>FY 2019/2020</t>
  </si>
  <si>
    <t>Catalyst</t>
  </si>
  <si>
    <t>April 1, 2020 Population Estimate</t>
  </si>
  <si>
    <r>
      <t>April 1, 2010</t>
    </r>
    <r>
      <rPr>
        <b/>
        <vertAlign val="superscript"/>
        <sz val="11"/>
        <color theme="1"/>
        <rFont val="Calibri"/>
        <family val="2"/>
        <scheme val="minor"/>
      </rPr>
      <t>1</t>
    </r>
    <r>
      <rPr>
        <b/>
        <sz val="11"/>
        <color theme="1"/>
        <rFont val="Calibri"/>
        <family val="2"/>
        <scheme val="minor"/>
      </rPr>
      <t xml:space="preserve"> Census</t>
    </r>
  </si>
  <si>
    <t>April 1, 2020 Inmates</t>
  </si>
  <si>
    <t>April 1, 2020 Estimate less Inmates</t>
  </si>
  <si>
    <t>UNINCORPORATED</t>
  </si>
  <si>
    <t xml:space="preserve">† Inmates figure updated October 23, 2020. The April 1, 2020 population estimate was updated accordingly. </t>
  </si>
  <si>
    <t xml:space="preserve">   The estimate less inmates was not affected.</t>
  </si>
  <si>
    <t>Source: University of Florida, Bureau of Economic and Business Research, 10/26/2020.</t>
  </si>
  <si>
    <t xml:space="preserve"> †</t>
  </si>
  <si>
    <t>Estero</t>
  </si>
  <si>
    <t>Indiantown</t>
  </si>
  <si>
    <t>Islandia</t>
  </si>
  <si>
    <t>Westlake</t>
  </si>
  <si>
    <t>Hastings</t>
  </si>
  <si>
    <t>Projected SHIP 2021-2022</t>
  </si>
  <si>
    <t>Less: Catalyst</t>
  </si>
  <si>
    <t>Budget</t>
  </si>
  <si>
    <r>
      <t xml:space="preserve">SHIP allocation based on Conference Committee as of 04/26/2021 </t>
    </r>
    <r>
      <rPr>
        <i/>
        <sz val="10"/>
        <rFont val="Calibri Light"/>
        <family val="2"/>
      </rPr>
      <t>(Less:  $5 million DR holdback, Monitoring &amp; Catalyst)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</si>
</sst>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_(* #,##0.0000_);_(* \(#,##0.0000\);_(* &quot;-&quot;??_);_(@_)"/>
    <numFmt numFmtId="166" formatCode="&quot;$&quot;\ #,##0"/>
    <numFmt numFmtId="167" formatCode="0.000%"/>
    <numFmt numFmtId="168" formatCode="0.00000%"/>
  </numFmts>
  <fonts count="6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Futura Lt BT"/>
      <family val="2"/>
    </font>
    <font>
      <sz val="11"/>
      <color theme="1"/>
      <name val="Futura Lt BT"/>
      <family val="2"/>
    </font>
    <font>
      <sz val="10"/>
      <name val="Arial"/>
      <family val="2"/>
    </font>
    <font>
      <sz val="10"/>
      <name val="Futura Lt BT"/>
      <family val="2"/>
    </font>
    <font>
      <b/>
      <sz val="8"/>
      <color indexed="81"/>
      <name val="Tahoma"/>
      <family val="2"/>
    </font>
    <font>
      <sz val="8"/>
      <color indexed="81"/>
      <name val="Tahoma"/>
      <family val="2"/>
    </font>
    <font>
      <sz val="12"/>
      <color indexed="81"/>
      <name val="Tahoma"/>
      <family val="2"/>
    </font>
    <font>
      <b/>
      <sz val="10"/>
      <name val="Futura Lt BT"/>
      <family val="2"/>
    </font>
    <font>
      <sz val="10"/>
      <color indexed="8"/>
      <name val="Futura Lt BT"/>
      <family val="2"/>
    </font>
    <font>
      <sz val="10"/>
      <color indexed="10"/>
      <name val="Futura Lt BT"/>
      <family val="2"/>
    </font>
    <font>
      <b/>
      <sz val="11"/>
      <name val="Futura Lt BT"/>
      <family val="2"/>
    </font>
    <font>
      <b/>
      <sz val="14"/>
      <name val="Futura Lt BT"/>
      <family val="2"/>
    </font>
    <font>
      <sz val="11"/>
      <name val="Futura Lt BT"/>
      <family val="2"/>
    </font>
    <font>
      <b/>
      <sz val="10"/>
      <color indexed="8"/>
      <name val="Futura Lt BT"/>
      <family val="2"/>
    </font>
    <font>
      <sz val="11"/>
      <color indexed="8"/>
      <name val="Futura Lt BT"/>
      <family val="2"/>
    </font>
    <font>
      <sz val="8"/>
      <name val="Futura Lt BT"/>
      <family val="2"/>
    </font>
    <font>
      <sz val="10"/>
      <color indexed="49"/>
      <name val="Futura Lt BT"/>
      <family val="2"/>
    </font>
    <font>
      <sz val="12"/>
      <name val="Futura Lt BT"/>
      <family val="2"/>
    </font>
    <font>
      <b/>
      <sz val="10"/>
      <color indexed="81"/>
      <name val="Tahoma"/>
      <family val="2"/>
    </font>
    <font>
      <sz val="10"/>
      <color indexed="81"/>
      <name val="Tahoma"/>
      <family val="2"/>
    </font>
    <font>
      <sz val="10"/>
      <name val="Calibri"/>
      <family val="2"/>
    </font>
    <font>
      <b/>
      <sz val="10"/>
      <color rgb="FF000000"/>
      <name val="Arial"/>
      <family val="2"/>
    </font>
    <font>
      <b/>
      <sz val="11"/>
      <name val="Calibri"/>
      <family val="2"/>
      <scheme val="minor"/>
    </font>
    <font>
      <b/>
      <sz val="11"/>
      <color theme="1"/>
      <name val="Calibri"/>
      <family val="2"/>
      <scheme val="minor"/>
    </font>
    <font>
      <sz val="11"/>
      <name val="Calibri"/>
      <family val="2"/>
      <scheme val="minor"/>
    </font>
    <font>
      <sz val="10"/>
      <name val="Calibri Light"/>
      <family val="2"/>
    </font>
    <font>
      <b/>
      <sz val="11"/>
      <color theme="1"/>
      <name val="Calibri Light"/>
      <family val="2"/>
    </font>
    <font>
      <sz val="11"/>
      <name val="Calibri Light"/>
      <family val="2"/>
    </font>
    <font>
      <sz val="11"/>
      <color indexed="8"/>
      <name val="Calibri Light"/>
      <family val="2"/>
    </font>
    <font>
      <b/>
      <sz val="14"/>
      <name val="Calibri Light"/>
      <family val="2"/>
    </font>
    <font>
      <sz val="14"/>
      <name val="Calibri Light"/>
      <family val="2"/>
    </font>
    <font>
      <b/>
      <sz val="11"/>
      <name val="Calibri Light"/>
      <family val="2"/>
    </font>
    <font>
      <b/>
      <sz val="11"/>
      <color indexed="8"/>
      <name val="Calibri Light"/>
      <family val="2"/>
    </font>
    <font>
      <b/>
      <i/>
      <sz val="11"/>
      <name val="Calibri"/>
      <family val="2"/>
      <scheme val="minor"/>
    </font>
    <font>
      <b/>
      <vertAlign val="superscript"/>
      <sz val="11"/>
      <color theme="1"/>
      <name val="Calibri"/>
      <family val="2"/>
      <scheme val="minor"/>
    </font>
    <font>
      <sz val="10"/>
      <color theme="1"/>
      <name val="Calibri"/>
      <family val="2"/>
      <scheme val="minor"/>
    </font>
    <font>
      <vertAlign val="superscript"/>
      <sz val="10"/>
      <color theme="1"/>
      <name val="Calibri"/>
      <family val="2"/>
      <scheme val="minor"/>
    </font>
    <font>
      <sz val="10"/>
      <name val="Calibri"/>
      <family val="2"/>
      <scheme val="minor"/>
    </font>
    <font>
      <i/>
      <sz val="11"/>
      <color rgb="FF0070C0"/>
      <name val="Calibri"/>
      <family val="2"/>
      <scheme val="minor"/>
    </font>
    <font>
      <b/>
      <sz val="11"/>
      <color rgb="FFFF0000"/>
      <name val="Calibri"/>
      <family val="2"/>
      <scheme val="minor"/>
    </font>
    <font>
      <i/>
      <sz val="11"/>
      <name val="Calibri Light"/>
      <family val="2"/>
    </font>
    <font>
      <b/>
      <sz val="9"/>
      <color rgb="FF0070C0"/>
      <name val="Calibri"/>
      <family val="2"/>
      <scheme val="minor"/>
    </font>
    <font>
      <b/>
      <sz val="9"/>
      <color theme="1"/>
      <name val="Calibri"/>
      <family val="2"/>
      <scheme val="minor"/>
    </font>
    <font>
      <sz val="9"/>
      <color theme="1"/>
      <name val="Calibri"/>
      <family val="2"/>
      <scheme val="minor"/>
    </font>
    <font>
      <sz val="10"/>
      <color rgb="FF000000"/>
      <name val="Calibri"/>
      <family val="2"/>
      <scheme val="minor"/>
    </font>
    <font>
      <b/>
      <i/>
      <sz val="10"/>
      <name val="Calibri Light"/>
      <family val="2"/>
    </font>
    <font>
      <i/>
      <sz val="10"/>
      <name val="Calibri Light"/>
      <family val="2"/>
    </font>
  </fonts>
  <fills count="13">
    <fill>
      <patternFill patternType="none"/>
    </fill>
    <fill>
      <patternFill patternType="gray125"/>
    </fill>
    <fill>
      <patternFill patternType="solid">
        <fgColor theme="6" tint="0.79998168889431442"/>
        <bgColor indexed="64"/>
      </patternFill>
    </fill>
    <fill>
      <patternFill patternType="solid">
        <fgColor indexed="13"/>
        <bgColor indexed="64"/>
      </patternFill>
    </fill>
    <fill>
      <patternFill patternType="solid">
        <fgColor indexed="8"/>
      </patternFill>
    </fill>
    <fill>
      <patternFill patternType="solid">
        <fgColor theme="4" tint="0.79998168889431442"/>
        <bgColor indexed="64"/>
      </patternFill>
    </fill>
    <fill>
      <patternFill patternType="solid">
        <fgColor indexed="44"/>
        <bgColor indexed="64"/>
      </patternFill>
    </fill>
    <fill>
      <patternFill patternType="solid">
        <fgColor indexed="22"/>
        <bgColor indexed="22"/>
      </patternFill>
    </fill>
    <fill>
      <patternFill patternType="solid">
        <fgColor indexed="55"/>
        <bgColor indexed="64"/>
      </patternFill>
    </fill>
    <fill>
      <patternFill patternType="solid">
        <fgColor theme="6" tint="0.39997558519241921"/>
        <bgColor indexed="64"/>
      </patternFill>
    </fill>
    <fill>
      <patternFill patternType="solid">
        <fgColor indexed="22"/>
        <bgColor indexed="64"/>
      </patternFill>
    </fill>
    <fill>
      <patternFill patternType="solid">
        <fgColor theme="0" tint="-4.9989318521683403E-2"/>
        <bgColor indexed="64"/>
      </patternFill>
    </fill>
    <fill>
      <patternFill patternType="solid">
        <fgColor rgb="FFFFFF00"/>
        <bgColor indexed="64"/>
      </patternFill>
    </fill>
  </fills>
  <borders count="5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thin">
        <color indexed="8"/>
      </left>
      <right/>
      <top style="thin">
        <color indexed="8"/>
      </top>
      <bottom/>
      <diagonal/>
    </border>
    <border>
      <left/>
      <right/>
      <top style="thin">
        <color indexed="8"/>
      </top>
      <bottom/>
      <diagonal/>
    </border>
    <border>
      <left style="hair">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style="thin">
        <color indexed="8"/>
      </left>
      <right/>
      <top/>
      <bottom/>
      <diagonal/>
    </border>
    <border>
      <left style="hair">
        <color indexed="8"/>
      </left>
      <right/>
      <top/>
      <bottom/>
      <diagonal/>
    </border>
    <border>
      <left/>
      <right style="thin">
        <color indexed="8"/>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top/>
      <bottom style="thin">
        <color theme="1"/>
      </bottom>
      <diagonal/>
    </border>
    <border>
      <left style="thin">
        <color indexed="8"/>
      </left>
      <right style="thin">
        <color indexed="8"/>
      </right>
      <top style="thin">
        <color indexed="8"/>
      </top>
      <bottom/>
      <diagonal/>
    </border>
    <border>
      <left/>
      <right/>
      <top/>
      <bottom style="double">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right style="medium">
        <color indexed="8"/>
      </right>
      <top style="thin">
        <color indexed="8"/>
      </top>
      <bottom/>
      <diagonal/>
    </border>
    <border>
      <left style="thin">
        <color indexed="8"/>
      </left>
      <right style="medium">
        <color indexed="8"/>
      </right>
      <top/>
      <bottom style="thin">
        <color indexed="8"/>
      </bottom>
      <diagonal/>
    </border>
    <border>
      <left style="thin">
        <color indexed="8"/>
      </left>
      <right style="thin">
        <color indexed="8"/>
      </right>
      <top style="thin">
        <color indexed="8"/>
      </top>
      <bottom style="double">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hair">
        <color indexed="64"/>
      </top>
      <bottom/>
      <diagonal/>
    </border>
    <border>
      <left style="double">
        <color indexed="64"/>
      </left>
      <right style="medium">
        <color indexed="64"/>
      </right>
      <top style="double">
        <color indexed="64"/>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style="double">
        <color indexed="64"/>
      </bottom>
      <diagonal/>
    </border>
    <border>
      <left style="medium">
        <color indexed="64"/>
      </left>
      <right style="double">
        <color indexed="64"/>
      </right>
      <top style="double">
        <color indexed="64"/>
      </top>
      <bottom style="medium">
        <color indexed="64"/>
      </bottom>
      <diagonal/>
    </border>
    <border>
      <left style="medium">
        <color indexed="64"/>
      </left>
      <right style="double">
        <color indexed="64"/>
      </right>
      <top/>
      <bottom style="medium">
        <color indexed="64"/>
      </bottom>
      <diagonal/>
    </border>
    <border>
      <left style="medium">
        <color indexed="64"/>
      </left>
      <right style="double">
        <color indexed="64"/>
      </right>
      <top/>
      <bottom style="double">
        <color indexed="64"/>
      </bottom>
      <diagonal/>
    </border>
  </borders>
  <cellStyleXfs count="25">
    <xf numFmtId="0" fontId="0" fillId="0" borderId="0"/>
    <xf numFmtId="43" fontId="16" fillId="0" borderId="0" applyFont="0" applyFill="0" applyBorder="0" applyAlignment="0" applyProtection="0"/>
    <xf numFmtId="0" fontId="16" fillId="0" borderId="0"/>
    <xf numFmtId="0" fontId="15" fillId="0" borderId="0"/>
    <xf numFmtId="43" fontId="15" fillId="0" borderId="0" applyFont="0" applyFill="0" applyBorder="0" applyAlignment="0" applyProtection="0"/>
    <xf numFmtId="44" fontId="15" fillId="0" borderId="0" applyFont="0" applyFill="0" applyBorder="0" applyAlignment="0" applyProtection="0"/>
    <xf numFmtId="0" fontId="14" fillId="0" borderId="0"/>
    <xf numFmtId="9" fontId="16" fillId="0" borderId="0" applyFont="0" applyFill="0" applyBorder="0" applyAlignment="0" applyProtection="0"/>
    <xf numFmtId="0" fontId="34" fillId="0" borderId="0">
      <alignment horizontal="left" indent="1"/>
    </xf>
    <xf numFmtId="0" fontId="13"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43" fontId="16" fillId="0" borderId="0" applyFont="0" applyFill="0" applyBorder="0" applyAlignment="0" applyProtection="0"/>
    <xf numFmtId="0" fontId="16" fillId="0" borderId="0"/>
    <xf numFmtId="0" fontId="11" fillId="0" borderId="0"/>
    <xf numFmtId="0" fontId="10" fillId="0" borderId="0"/>
    <xf numFmtId="0" fontId="9" fillId="0" borderId="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5" fillId="0" borderId="0"/>
    <xf numFmtId="0" fontId="4" fillId="0" borderId="0"/>
  </cellStyleXfs>
  <cellXfs count="288">
    <xf numFmtId="0" fontId="0" fillId="0" borderId="0" xfId="0"/>
    <xf numFmtId="0" fontId="17" fillId="3" borderId="0" xfId="2" applyFont="1" applyFill="1"/>
    <xf numFmtId="0" fontId="17" fillId="3" borderId="0" xfId="2" applyFont="1" applyFill="1" applyAlignment="1">
      <alignment horizontal="centerContinuous"/>
    </xf>
    <xf numFmtId="0" fontId="17" fillId="0" borderId="0" xfId="2" applyFont="1"/>
    <xf numFmtId="0" fontId="17" fillId="0" borderId="0" xfId="2" applyFont="1" applyAlignment="1">
      <alignment horizontal="centerContinuous"/>
    </xf>
    <xf numFmtId="10" fontId="17" fillId="0" borderId="0" xfId="2" applyNumberFormat="1" applyFont="1" applyAlignment="1" applyProtection="1">
      <alignment horizontal="centerContinuous"/>
    </xf>
    <xf numFmtId="37" fontId="17" fillId="0" borderId="0" xfId="2" applyNumberFormat="1" applyFont="1" applyProtection="1"/>
    <xf numFmtId="10" fontId="17" fillId="0" borderId="0" xfId="2" applyNumberFormat="1" applyFont="1" applyProtection="1"/>
    <xf numFmtId="164" fontId="17" fillId="0" borderId="0" xfId="1" applyNumberFormat="1" applyFont="1"/>
    <xf numFmtId="10" fontId="21" fillId="0" borderId="0" xfId="2" applyNumberFormat="1" applyFont="1" applyProtection="1"/>
    <xf numFmtId="0" fontId="17" fillId="4" borderId="0" xfId="2" applyFont="1" applyFill="1"/>
    <xf numFmtId="0" fontId="17" fillId="5" borderId="0" xfId="2" applyFont="1" applyFill="1"/>
    <xf numFmtId="0" fontId="17" fillId="6" borderId="0" xfId="2" applyFont="1" applyFill="1"/>
    <xf numFmtId="37" fontId="17" fillId="0" borderId="0" xfId="2" quotePrefix="1" applyNumberFormat="1" applyFont="1" applyAlignment="1" applyProtection="1">
      <alignment horizontal="left"/>
    </xf>
    <xf numFmtId="164" fontId="17" fillId="0" borderId="0" xfId="1" applyNumberFormat="1" applyFont="1" applyProtection="1"/>
    <xf numFmtId="43" fontId="21" fillId="0" borderId="0" xfId="1" applyFont="1" applyProtection="1"/>
    <xf numFmtId="0" fontId="21" fillId="0" borderId="0" xfId="2" applyFont="1"/>
    <xf numFmtId="37" fontId="17" fillId="3" borderId="0" xfId="2" applyNumberFormat="1" applyFont="1" applyFill="1" applyProtection="1"/>
    <xf numFmtId="10" fontId="17" fillId="3" borderId="0" xfId="2" applyNumberFormat="1" applyFont="1" applyFill="1" applyProtection="1"/>
    <xf numFmtId="164" fontId="17" fillId="3" borderId="0" xfId="1" applyNumberFormat="1" applyFont="1" applyFill="1" applyProtection="1"/>
    <xf numFmtId="0" fontId="17" fillId="0" borderId="0" xfId="2" applyFont="1" applyProtection="1"/>
    <xf numFmtId="10" fontId="17" fillId="0" borderId="0" xfId="2" applyNumberFormat="1" applyFont="1" applyAlignment="1" applyProtection="1">
      <alignment horizontal="center"/>
    </xf>
    <xf numFmtId="0" fontId="17" fillId="0" borderId="0" xfId="2" applyFont="1" applyAlignment="1" applyProtection="1">
      <alignment horizontal="center"/>
    </xf>
    <xf numFmtId="37" fontId="17" fillId="0" borderId="8" xfId="2" applyNumberFormat="1" applyFont="1" applyBorder="1" applyProtection="1"/>
    <xf numFmtId="0" fontId="17" fillId="0" borderId="9" xfId="2" applyFont="1" applyBorder="1" applyProtection="1"/>
    <xf numFmtId="10" fontId="17" fillId="0" borderId="9" xfId="2" applyNumberFormat="1" applyFont="1" applyBorder="1" applyProtection="1"/>
    <xf numFmtId="37" fontId="17" fillId="0" borderId="10" xfId="2" applyNumberFormat="1" applyFont="1" applyBorder="1" applyProtection="1"/>
    <xf numFmtId="0" fontId="17" fillId="0" borderId="11" xfId="2" applyFont="1" applyBorder="1" applyProtection="1"/>
    <xf numFmtId="37" fontId="17" fillId="0" borderId="0" xfId="2" applyNumberFormat="1" applyFont="1" applyAlignment="1" applyProtection="1">
      <alignment horizontal="center"/>
    </xf>
    <xf numFmtId="37" fontId="21" fillId="0" borderId="12" xfId="2" applyNumberFormat="1" applyFont="1" applyBorder="1" applyAlignment="1" applyProtection="1">
      <alignment horizontal="center"/>
    </xf>
    <xf numFmtId="10" fontId="17" fillId="0" borderId="13" xfId="2" applyNumberFormat="1" applyFont="1" applyBorder="1" applyAlignment="1" applyProtection="1">
      <alignment horizontal="centerContinuous"/>
    </xf>
    <xf numFmtId="37" fontId="21" fillId="0" borderId="14" xfId="2" applyNumberFormat="1" applyFont="1" applyBorder="1" applyAlignment="1" applyProtection="1">
      <alignment horizontal="center"/>
    </xf>
    <xf numFmtId="10" fontId="17" fillId="0" borderId="13" xfId="2" applyNumberFormat="1" applyFont="1" applyBorder="1" applyProtection="1"/>
    <xf numFmtId="0" fontId="17" fillId="0" borderId="15" xfId="2" applyFont="1" applyBorder="1" applyProtection="1"/>
    <xf numFmtId="37" fontId="21" fillId="0" borderId="16" xfId="2" applyNumberFormat="1" applyFont="1" applyBorder="1" applyAlignment="1" applyProtection="1">
      <alignment horizontal="center"/>
    </xf>
    <xf numFmtId="37" fontId="21" fillId="0" borderId="17" xfId="2" applyNumberFormat="1" applyFont="1" applyBorder="1" applyAlignment="1" applyProtection="1">
      <alignment horizontal="center"/>
    </xf>
    <xf numFmtId="0" fontId="17" fillId="0" borderId="18" xfId="2" applyFont="1" applyBorder="1" applyAlignment="1" applyProtection="1">
      <alignment horizontal="center"/>
    </xf>
    <xf numFmtId="0" fontId="17" fillId="4" borderId="9" xfId="2" applyFont="1" applyFill="1" applyBorder="1"/>
    <xf numFmtId="0" fontId="17" fillId="5" borderId="0" xfId="2" applyFont="1" applyFill="1" applyBorder="1"/>
    <xf numFmtId="0" fontId="17" fillId="4" borderId="0" xfId="2" applyFont="1" applyFill="1" applyBorder="1"/>
    <xf numFmtId="37" fontId="17" fillId="0" borderId="16" xfId="2" applyNumberFormat="1" applyFont="1" applyBorder="1" applyAlignment="1" applyProtection="1">
      <alignment horizontal="center"/>
    </xf>
    <xf numFmtId="37" fontId="17" fillId="0" borderId="17" xfId="2" applyNumberFormat="1" applyFont="1" applyBorder="1" applyAlignment="1" applyProtection="1">
      <alignment horizontal="center"/>
    </xf>
    <xf numFmtId="164" fontId="21" fillId="0" borderId="8" xfId="1" applyNumberFormat="1" applyFont="1" applyBorder="1" applyProtection="1"/>
    <xf numFmtId="164" fontId="17" fillId="0" borderId="9" xfId="1" applyNumberFormat="1" applyFont="1" applyBorder="1" applyProtection="1"/>
    <xf numFmtId="164" fontId="21" fillId="0" borderId="10" xfId="1" applyNumberFormat="1" applyFont="1" applyBorder="1" applyProtection="1"/>
    <xf numFmtId="37" fontId="17" fillId="0" borderId="9" xfId="2" applyNumberFormat="1" applyFont="1" applyBorder="1" applyProtection="1"/>
    <xf numFmtId="37" fontId="17" fillId="0" borderId="11" xfId="2" applyNumberFormat="1" applyFont="1" applyBorder="1" applyProtection="1"/>
    <xf numFmtId="37" fontId="14" fillId="2" borderId="0" xfId="6" applyNumberFormat="1" applyFont="1" applyFill="1" applyAlignment="1">
      <alignment horizontal="left"/>
    </xf>
    <xf numFmtId="37" fontId="14" fillId="2" borderId="0" xfId="6" applyNumberFormat="1" applyFont="1" applyFill="1"/>
    <xf numFmtId="0" fontId="17" fillId="2" borderId="0" xfId="2" applyFont="1" applyFill="1"/>
    <xf numFmtId="0" fontId="17" fillId="9" borderId="0" xfId="2" applyFont="1" applyFill="1"/>
    <xf numFmtId="164" fontId="21" fillId="10" borderId="9" xfId="1" applyNumberFormat="1" applyFont="1" applyFill="1" applyBorder="1" applyProtection="1"/>
    <xf numFmtId="164" fontId="17" fillId="0" borderId="8" xfId="1" applyNumberFormat="1" applyFont="1" applyBorder="1" applyProtection="1"/>
    <xf numFmtId="164" fontId="17" fillId="0" borderId="10" xfId="1" applyNumberFormat="1" applyFont="1" applyBorder="1" applyProtection="1"/>
    <xf numFmtId="0" fontId="17" fillId="5" borderId="9" xfId="2" applyFont="1" applyFill="1" applyBorder="1"/>
    <xf numFmtId="0" fontId="26" fillId="0" borderId="23" xfId="2" applyFont="1" applyBorder="1"/>
    <xf numFmtId="37" fontId="26" fillId="0" borderId="23" xfId="2" applyNumberFormat="1" applyFont="1" applyBorder="1" applyProtection="1"/>
    <xf numFmtId="0" fontId="17" fillId="6" borderId="9" xfId="2" applyFont="1" applyFill="1" applyBorder="1"/>
    <xf numFmtId="37" fontId="17" fillId="2" borderId="0" xfId="6" quotePrefix="1" applyNumberFormat="1" applyFont="1" applyFill="1" applyAlignment="1">
      <alignment horizontal="left" indent="1"/>
    </xf>
    <xf numFmtId="10" fontId="14" fillId="2" borderId="0" xfId="6" applyNumberFormat="1" applyFont="1" applyFill="1" applyAlignment="1" applyProtection="1">
      <alignment horizontal="right"/>
    </xf>
    <xf numFmtId="37" fontId="14" fillId="2" borderId="0" xfId="6" applyNumberFormat="1" applyFont="1" applyFill="1" applyAlignment="1" applyProtection="1">
      <alignment horizontal="center"/>
    </xf>
    <xf numFmtId="10" fontId="14" fillId="2" borderId="0" xfId="6" applyNumberFormat="1" applyFont="1" applyFill="1" applyAlignment="1" applyProtection="1">
      <alignment horizontal="center"/>
    </xf>
    <xf numFmtId="10" fontId="17" fillId="9" borderId="0" xfId="7" applyNumberFormat="1" applyFont="1" applyFill="1"/>
    <xf numFmtId="0" fontId="17" fillId="0" borderId="0" xfId="2" applyFont="1" applyAlignment="1" applyProtection="1">
      <alignment horizontal="left" indent="1"/>
    </xf>
    <xf numFmtId="164" fontId="21" fillId="10" borderId="0" xfId="1" applyNumberFormat="1" applyFont="1" applyFill="1" applyProtection="1"/>
    <xf numFmtId="10" fontId="17" fillId="0" borderId="0" xfId="2" applyNumberFormat="1" applyFont="1" applyBorder="1" applyProtection="1"/>
    <xf numFmtId="164" fontId="17" fillId="0" borderId="16" xfId="1" applyNumberFormat="1" applyFont="1" applyBorder="1" applyProtection="1"/>
    <xf numFmtId="164" fontId="17" fillId="0" borderId="17" xfId="1" applyNumberFormat="1" applyFont="1" applyBorder="1" applyProtection="1"/>
    <xf numFmtId="0" fontId="17" fillId="5" borderId="28" xfId="2" applyFont="1" applyFill="1" applyBorder="1"/>
    <xf numFmtId="0" fontId="26" fillId="0" borderId="23" xfId="2" applyFont="1" applyBorder="1" applyAlignment="1">
      <alignment horizontal="left" indent="1"/>
    </xf>
    <xf numFmtId="10" fontId="17" fillId="0" borderId="9" xfId="7" applyNumberFormat="1" applyFont="1" applyBorder="1" applyProtection="1"/>
    <xf numFmtId="0" fontId="26" fillId="0" borderId="29" xfId="2" applyFont="1" applyBorder="1"/>
    <xf numFmtId="37" fontId="26" fillId="0" borderId="29" xfId="2" applyNumberFormat="1" applyFont="1" applyBorder="1" applyProtection="1"/>
    <xf numFmtId="37" fontId="14" fillId="2" borderId="0" xfId="6" applyNumberFormat="1" applyFont="1" applyFill="1" applyProtection="1"/>
    <xf numFmtId="37" fontId="14" fillId="2" borderId="0" xfId="6" quotePrefix="1" applyNumberFormat="1" applyFont="1" applyFill="1" applyAlignment="1" applyProtection="1">
      <alignment horizontal="left"/>
    </xf>
    <xf numFmtId="10" fontId="14" fillId="9" borderId="30" xfId="6" applyNumberFormat="1" applyFont="1" applyFill="1" applyBorder="1" applyProtection="1"/>
    <xf numFmtId="0" fontId="22" fillId="0" borderId="0" xfId="2" applyFont="1" applyAlignment="1" applyProtection="1">
      <alignment horizontal="left" indent="1"/>
    </xf>
    <xf numFmtId="164" fontId="27" fillId="10" borderId="0" xfId="1" applyNumberFormat="1" applyFont="1" applyFill="1" applyBorder="1" applyProtection="1"/>
    <xf numFmtId="10" fontId="22" fillId="0" borderId="0" xfId="2" applyNumberFormat="1" applyFont="1" applyBorder="1" applyProtection="1"/>
    <xf numFmtId="10" fontId="22" fillId="0" borderId="0" xfId="2" applyNumberFormat="1" applyFont="1" applyProtection="1"/>
    <xf numFmtId="164" fontId="22" fillId="0" borderId="16" xfId="1" applyNumberFormat="1" applyFont="1" applyBorder="1" applyProtection="1"/>
    <xf numFmtId="164" fontId="22" fillId="0" borderId="0" xfId="1" applyNumberFormat="1" applyFont="1" applyBorder="1" applyProtection="1"/>
    <xf numFmtId="164" fontId="22" fillId="0" borderId="17" xfId="1" applyNumberFormat="1" applyFont="1" applyBorder="1" applyProtection="1"/>
    <xf numFmtId="0" fontId="22" fillId="4" borderId="0" xfId="2" applyFont="1" applyFill="1" applyBorder="1"/>
    <xf numFmtId="0" fontId="22" fillId="5" borderId="0" xfId="2" applyFont="1" applyFill="1" applyBorder="1"/>
    <xf numFmtId="0" fontId="28" fillId="0" borderId="23" xfId="2" applyFont="1" applyBorder="1" applyAlignment="1">
      <alignment horizontal="left" indent="1"/>
    </xf>
    <xf numFmtId="37" fontId="28" fillId="0" borderId="23" xfId="2" applyNumberFormat="1" applyFont="1" applyBorder="1" applyProtection="1"/>
    <xf numFmtId="0" fontId="22" fillId="6" borderId="0" xfId="2" applyFont="1" applyFill="1" applyBorder="1"/>
    <xf numFmtId="0" fontId="22" fillId="0" borderId="0" xfId="2" applyFont="1"/>
    <xf numFmtId="0" fontId="26" fillId="0" borderId="23" xfId="2" applyFont="1" applyBorder="1" applyAlignment="1" applyProtection="1">
      <alignment horizontal="left" indent="1"/>
    </xf>
    <xf numFmtId="0" fontId="21" fillId="0" borderId="0" xfId="2" applyFont="1" applyAlignment="1">
      <alignment horizontal="left"/>
    </xf>
    <xf numFmtId="0" fontId="26" fillId="0" borderId="31" xfId="2" applyFont="1" applyBorder="1"/>
    <xf numFmtId="37" fontId="26" fillId="0" borderId="31" xfId="2" applyNumberFormat="1" applyFont="1" applyBorder="1" applyProtection="1"/>
    <xf numFmtId="0" fontId="26" fillId="0" borderId="32" xfId="2" applyFont="1" applyBorder="1" applyAlignment="1">
      <alignment horizontal="left" indent="1"/>
    </xf>
    <xf numFmtId="37" fontId="26" fillId="0" borderId="32" xfId="2" applyNumberFormat="1" applyFont="1" applyBorder="1" applyProtection="1"/>
    <xf numFmtId="0" fontId="17" fillId="6" borderId="33" xfId="2" applyFont="1" applyFill="1" applyBorder="1"/>
    <xf numFmtId="0" fontId="17" fillId="6" borderId="34" xfId="2" applyFont="1" applyFill="1" applyBorder="1"/>
    <xf numFmtId="0" fontId="17" fillId="0" borderId="13" xfId="2" quotePrefix="1" applyFont="1" applyBorder="1" applyAlignment="1" applyProtection="1">
      <alignment horizontal="left" indent="1"/>
    </xf>
    <xf numFmtId="164" fontId="21" fillId="10" borderId="13" xfId="1" applyNumberFormat="1" applyFont="1" applyFill="1" applyBorder="1" applyProtection="1"/>
    <xf numFmtId="164" fontId="17" fillId="0" borderId="12" xfId="1" applyNumberFormat="1" applyFont="1" applyBorder="1" applyProtection="1"/>
    <xf numFmtId="164" fontId="17" fillId="0" borderId="13" xfId="1" applyNumberFormat="1" applyFont="1" applyBorder="1" applyProtection="1"/>
    <xf numFmtId="164" fontId="17" fillId="0" borderId="14" xfId="1" applyNumberFormat="1" applyFont="1" applyBorder="1" applyProtection="1"/>
    <xf numFmtId="0" fontId="17" fillId="4" borderId="13" xfId="2" applyFont="1" applyFill="1" applyBorder="1"/>
    <xf numFmtId="0" fontId="17" fillId="5" borderId="13" xfId="2" applyFont="1" applyFill="1" applyBorder="1"/>
    <xf numFmtId="0" fontId="17" fillId="6" borderId="35" xfId="2" applyFont="1" applyFill="1" applyBorder="1"/>
    <xf numFmtId="0" fontId="17" fillId="0" borderId="0" xfId="2" applyFont="1" applyBorder="1" applyProtection="1"/>
    <xf numFmtId="10" fontId="17" fillId="0" borderId="0" xfId="7" applyNumberFormat="1" applyFont="1" applyBorder="1" applyProtection="1"/>
    <xf numFmtId="164" fontId="17" fillId="0" borderId="0" xfId="1" applyNumberFormat="1" applyFont="1" applyBorder="1" applyProtection="1"/>
    <xf numFmtId="0" fontId="17" fillId="6" borderId="7" xfId="2" applyFont="1" applyFill="1" applyBorder="1"/>
    <xf numFmtId="164" fontId="27" fillId="10" borderId="0" xfId="1" applyNumberFormat="1" applyFont="1" applyFill="1" applyProtection="1"/>
    <xf numFmtId="164" fontId="22" fillId="0" borderId="0" xfId="1" applyNumberFormat="1" applyFont="1" applyProtection="1"/>
    <xf numFmtId="0" fontId="22" fillId="4" borderId="0" xfId="2" applyFont="1" applyFill="1"/>
    <xf numFmtId="0" fontId="22" fillId="6" borderId="0" xfId="2" applyFont="1" applyFill="1"/>
    <xf numFmtId="0" fontId="17" fillId="0" borderId="0" xfId="2" applyFont="1" applyAlignment="1">
      <alignment horizontal="left" indent="1"/>
    </xf>
    <xf numFmtId="0" fontId="17" fillId="0" borderId="0" xfId="2" quotePrefix="1" applyFont="1" applyAlignment="1" applyProtection="1">
      <alignment horizontal="left" indent="1"/>
    </xf>
    <xf numFmtId="10" fontId="17" fillId="0" borderId="15" xfId="2" applyNumberFormat="1" applyFont="1" applyBorder="1" applyProtection="1"/>
    <xf numFmtId="0" fontId="24" fillId="0" borderId="36" xfId="2" applyFont="1" applyBorder="1" applyAlignment="1">
      <alignment horizontal="center"/>
    </xf>
    <xf numFmtId="37" fontId="26" fillId="0" borderId="36" xfId="2" applyNumberFormat="1" applyFont="1" applyBorder="1" applyProtection="1"/>
    <xf numFmtId="0" fontId="17" fillId="0" borderId="9" xfId="2" applyFont="1" applyFill="1" applyBorder="1"/>
    <xf numFmtId="0" fontId="29" fillId="0" borderId="0" xfId="2" applyFont="1"/>
    <xf numFmtId="0" fontId="17" fillId="0" borderId="0" xfId="2" quotePrefix="1" applyFont="1" applyAlignment="1" applyProtection="1">
      <alignment horizontal="left"/>
    </xf>
    <xf numFmtId="164" fontId="21" fillId="0" borderId="0" xfId="1" applyNumberFormat="1" applyFont="1" applyProtection="1"/>
    <xf numFmtId="0" fontId="17" fillId="0" borderId="0" xfId="2" applyFont="1" applyFill="1"/>
    <xf numFmtId="39" fontId="29" fillId="0" borderId="0" xfId="2" applyNumberFormat="1" applyFont="1"/>
    <xf numFmtId="37" fontId="17" fillId="0" borderId="17" xfId="2" applyNumberFormat="1" applyFont="1" applyBorder="1" applyProtection="1"/>
    <xf numFmtId="0" fontId="30" fillId="0" borderId="0" xfId="2" applyFont="1" applyFill="1" applyProtection="1"/>
    <xf numFmtId="164" fontId="30" fillId="0" borderId="0" xfId="1" applyNumberFormat="1" applyFont="1" applyFill="1" applyProtection="1"/>
    <xf numFmtId="10" fontId="30" fillId="0" borderId="0" xfId="2" applyNumberFormat="1" applyFont="1" applyFill="1" applyProtection="1"/>
    <xf numFmtId="0" fontId="30" fillId="0" borderId="18" xfId="2" applyFont="1" applyFill="1" applyBorder="1" applyProtection="1"/>
    <xf numFmtId="37" fontId="17" fillId="0" borderId="0" xfId="2" applyNumberFormat="1" applyFont="1" applyFill="1" applyProtection="1"/>
    <xf numFmtId="10" fontId="17" fillId="0" borderId="0" xfId="2" applyNumberFormat="1" applyFont="1" applyFill="1" applyProtection="1"/>
    <xf numFmtId="37" fontId="17" fillId="0" borderId="17" xfId="2" applyNumberFormat="1" applyFont="1" applyFill="1" applyBorder="1" applyProtection="1"/>
    <xf numFmtId="0" fontId="30" fillId="0" borderId="0" xfId="2" applyFont="1" applyFill="1"/>
    <xf numFmtId="164" fontId="30" fillId="0" borderId="0" xfId="1" applyNumberFormat="1" applyFont="1" applyFill="1"/>
    <xf numFmtId="164" fontId="31" fillId="0" borderId="0" xfId="2" applyNumberFormat="1" applyFont="1" applyProtection="1"/>
    <xf numFmtId="165" fontId="17" fillId="0" borderId="0" xfId="1" applyNumberFormat="1" applyFont="1" applyProtection="1"/>
    <xf numFmtId="0" fontId="17" fillId="0" borderId="18" xfId="2" applyFont="1" applyBorder="1" applyProtection="1"/>
    <xf numFmtId="0" fontId="30" fillId="0" borderId="0" xfId="2" applyFont="1"/>
    <xf numFmtId="37" fontId="29" fillId="0" borderId="0" xfId="2" applyNumberFormat="1" applyFont="1" applyProtection="1"/>
    <xf numFmtId="10" fontId="29" fillId="0" borderId="0" xfId="2" applyNumberFormat="1" applyFont="1" applyProtection="1"/>
    <xf numFmtId="0" fontId="17" fillId="8" borderId="0" xfId="2" applyFont="1" applyFill="1" applyProtection="1"/>
    <xf numFmtId="37" fontId="17" fillId="8" borderId="0" xfId="2" applyNumberFormat="1" applyFont="1" applyFill="1" applyProtection="1"/>
    <xf numFmtId="10" fontId="17" fillId="8" borderId="0" xfId="2" applyNumberFormat="1" applyFont="1" applyFill="1" applyProtection="1"/>
    <xf numFmtId="0" fontId="31" fillId="0" borderId="0" xfId="2" quotePrefix="1" applyFont="1" applyAlignment="1">
      <alignment horizontal="left"/>
    </xf>
    <xf numFmtId="164" fontId="29" fillId="0" borderId="0" xfId="1" applyNumberFormat="1" applyFont="1"/>
    <xf numFmtId="0" fontId="17" fillId="0" borderId="0" xfId="2" applyFont="1" applyBorder="1"/>
    <xf numFmtId="0" fontId="26" fillId="0" borderId="23" xfId="2" quotePrefix="1" applyFont="1" applyBorder="1" applyAlignment="1">
      <alignment horizontal="left" indent="1"/>
    </xf>
    <xf numFmtId="0" fontId="17" fillId="0" borderId="0" xfId="2" quotePrefix="1" applyNumberFormat="1" applyFont="1" applyAlignment="1">
      <alignment horizontal="left" wrapText="1"/>
    </xf>
    <xf numFmtId="0" fontId="17" fillId="0" borderId="0" xfId="2" applyNumberFormat="1" applyFont="1" applyAlignment="1">
      <alignment wrapText="1"/>
    </xf>
    <xf numFmtId="0" fontId="17" fillId="0" borderId="0" xfId="6" applyFont="1" applyAlignment="1">
      <alignment wrapText="1"/>
    </xf>
    <xf numFmtId="0" fontId="21" fillId="0" borderId="0" xfId="2" quotePrefix="1" applyFont="1" applyAlignment="1" applyProtection="1">
      <alignment horizontal="left"/>
    </xf>
    <xf numFmtId="0" fontId="17" fillId="2" borderId="37" xfId="2" quotePrefix="1" applyFont="1" applyFill="1" applyBorder="1" applyAlignment="1">
      <alignment horizontal="left"/>
    </xf>
    <xf numFmtId="0" fontId="17" fillId="2" borderId="38" xfId="2" applyFont="1" applyFill="1" applyBorder="1"/>
    <xf numFmtId="10" fontId="17" fillId="2" borderId="38" xfId="2" applyNumberFormat="1" applyFont="1" applyFill="1" applyBorder="1" applyProtection="1"/>
    <xf numFmtId="37" fontId="17" fillId="2" borderId="39" xfId="2" applyNumberFormat="1" applyFont="1" applyFill="1" applyBorder="1" applyProtection="1"/>
    <xf numFmtId="0" fontId="17" fillId="2" borderId="40" xfId="2" applyFont="1" applyFill="1" applyBorder="1"/>
    <xf numFmtId="0" fontId="17" fillId="2" borderId="0" xfId="2" applyFont="1" applyFill="1" applyBorder="1"/>
    <xf numFmtId="10" fontId="17" fillId="2" borderId="0" xfId="2" applyNumberFormat="1" applyFont="1" applyFill="1" applyBorder="1" applyProtection="1"/>
    <xf numFmtId="37" fontId="17" fillId="2" borderId="41" xfId="2" applyNumberFormat="1" applyFont="1" applyFill="1" applyBorder="1" applyProtection="1"/>
    <xf numFmtId="0" fontId="17" fillId="2" borderId="42" xfId="2" applyFont="1" applyFill="1" applyBorder="1"/>
    <xf numFmtId="0" fontId="17" fillId="2" borderId="1" xfId="2" applyFont="1" applyFill="1" applyBorder="1"/>
    <xf numFmtId="10" fontId="17" fillId="2" borderId="1" xfId="2" applyNumberFormat="1" applyFont="1" applyFill="1" applyBorder="1" applyProtection="1"/>
    <xf numFmtId="37" fontId="17" fillId="2" borderId="43" xfId="2" applyNumberFormat="1" applyFont="1" applyFill="1" applyBorder="1" applyProtection="1"/>
    <xf numFmtId="49" fontId="36" fillId="0" borderId="0" xfId="0" applyNumberFormat="1" applyFont="1" applyAlignment="1">
      <alignment horizontal="left"/>
    </xf>
    <xf numFmtId="0" fontId="17" fillId="0" borderId="9" xfId="2" quotePrefix="1" applyFont="1" applyBorder="1" applyAlignment="1" applyProtection="1">
      <alignment horizontal="left"/>
    </xf>
    <xf numFmtId="164" fontId="41" fillId="0" borderId="45" xfId="1" applyNumberFormat="1" applyFont="1" applyFill="1" applyBorder="1" applyProtection="1"/>
    <xf numFmtId="164" fontId="41" fillId="0" borderId="2" xfId="1" applyNumberFormat="1" applyFont="1" applyFill="1" applyBorder="1" applyProtection="1"/>
    <xf numFmtId="164" fontId="41" fillId="11" borderId="46" xfId="1" applyNumberFormat="1" applyFont="1" applyFill="1" applyBorder="1" applyProtection="1"/>
    <xf numFmtId="164" fontId="41" fillId="0" borderId="46" xfId="1" applyNumberFormat="1" applyFont="1" applyFill="1" applyBorder="1" applyProtection="1"/>
    <xf numFmtId="164" fontId="41" fillId="11" borderId="47" xfId="1" applyNumberFormat="1" applyFont="1" applyFill="1" applyBorder="1" applyProtection="1"/>
    <xf numFmtId="164" fontId="41" fillId="0" borderId="47" xfId="1" applyNumberFormat="1" applyFont="1" applyFill="1" applyBorder="1" applyProtection="1"/>
    <xf numFmtId="164" fontId="41" fillId="0" borderId="49" xfId="1" applyNumberFormat="1" applyFont="1" applyFill="1" applyBorder="1" applyProtection="1"/>
    <xf numFmtId="164" fontId="41" fillId="0" borderId="50" xfId="1" applyNumberFormat="1" applyFont="1" applyFill="1" applyBorder="1" applyProtection="1"/>
    <xf numFmtId="164" fontId="41" fillId="11" borderId="2" xfId="1" applyNumberFormat="1" applyFont="1" applyFill="1" applyBorder="1"/>
    <xf numFmtId="164" fontId="45" fillId="11" borderId="50" xfId="1" applyNumberFormat="1" applyFont="1" applyFill="1" applyBorder="1" applyProtection="1"/>
    <xf numFmtId="164" fontId="45" fillId="11" borderId="49" xfId="1" applyNumberFormat="1" applyFont="1" applyFill="1" applyBorder="1" applyProtection="1"/>
    <xf numFmtId="0" fontId="17" fillId="0" borderId="0" xfId="2" quotePrefix="1" applyFont="1" applyAlignment="1">
      <alignment horizontal="left"/>
    </xf>
    <xf numFmtId="43" fontId="17" fillId="0" borderId="0" xfId="1" applyFont="1" applyProtection="1"/>
    <xf numFmtId="164" fontId="41" fillId="11" borderId="52" xfId="1" applyNumberFormat="1" applyFont="1" applyFill="1" applyBorder="1" applyProtection="1"/>
    <xf numFmtId="0" fontId="6" fillId="0" borderId="0" xfId="20" applyFont="1" applyProtection="1">
      <protection locked="0"/>
    </xf>
    <xf numFmtId="3" fontId="38" fillId="0" borderId="0" xfId="21" applyNumberFormat="1" applyFont="1" applyFill="1" applyBorder="1" applyProtection="1">
      <protection locked="0"/>
    </xf>
    <xf numFmtId="3" fontId="6" fillId="0" borderId="0" xfId="20" applyNumberFormat="1" applyFont="1" applyProtection="1">
      <protection locked="0"/>
    </xf>
    <xf numFmtId="167" fontId="51" fillId="0" borderId="0" xfId="22" applyNumberFormat="1" applyFont="1" applyProtection="1">
      <protection locked="0"/>
    </xf>
    <xf numFmtId="1" fontId="51" fillId="0" borderId="0" xfId="0" applyNumberFormat="1" applyFont="1" applyFill="1" applyBorder="1" applyAlignment="1" applyProtection="1">
      <alignment horizontal="left"/>
      <protection locked="0"/>
    </xf>
    <xf numFmtId="3" fontId="51" fillId="0" borderId="0" xfId="21" applyNumberFormat="1" applyFont="1" applyFill="1" applyBorder="1" applyProtection="1">
      <protection locked="0"/>
    </xf>
    <xf numFmtId="1" fontId="6" fillId="0" borderId="0" xfId="20" applyNumberFormat="1" applyFont="1" applyFill="1" applyBorder="1" applyAlignment="1" applyProtection="1">
      <alignment horizontal="left"/>
      <protection locked="0"/>
    </xf>
    <xf numFmtId="164" fontId="6" fillId="0" borderId="0" xfId="1" applyNumberFormat="1" applyFont="1" applyProtection="1">
      <protection locked="0"/>
    </xf>
    <xf numFmtId="0" fontId="6" fillId="0" borderId="0" xfId="20" quotePrefix="1" applyFont="1" applyAlignment="1" applyProtection="1">
      <alignment horizontal="left"/>
      <protection locked="0"/>
    </xf>
    <xf numFmtId="0" fontId="53" fillId="0" borderId="0" xfId="20" quotePrefix="1" applyFont="1" applyAlignment="1" applyProtection="1">
      <alignment horizontal="left" vertical="top"/>
      <protection locked="0"/>
    </xf>
    <xf numFmtId="0" fontId="43" fillId="0" borderId="0" xfId="2" quotePrefix="1" applyFont="1" applyAlignment="1">
      <alignment horizontal="left"/>
    </xf>
    <xf numFmtId="0" fontId="39" fillId="0" borderId="0" xfId="2" applyFont="1"/>
    <xf numFmtId="0" fontId="39" fillId="0" borderId="0" xfId="2" quotePrefix="1" applyFont="1" applyBorder="1" applyAlignment="1">
      <alignment horizontal="left"/>
    </xf>
    <xf numFmtId="0" fontId="39" fillId="0" borderId="0" xfId="2" applyFont="1" applyBorder="1" applyAlignment="1"/>
    <xf numFmtId="0" fontId="40" fillId="0" borderId="44" xfId="2" quotePrefix="1" applyFont="1" applyFill="1" applyBorder="1" applyAlignment="1">
      <alignment horizontal="center" vertical="center" wrapText="1"/>
    </xf>
    <xf numFmtId="0" fontId="40" fillId="0" borderId="44" xfId="2" applyFont="1" applyFill="1" applyBorder="1" applyAlignment="1">
      <alignment horizontal="center" vertical="center" wrapText="1"/>
    </xf>
    <xf numFmtId="0" fontId="41" fillId="0" borderId="0" xfId="2" applyFont="1"/>
    <xf numFmtId="0" fontId="41" fillId="0" borderId="45" xfId="2" applyFont="1" applyFill="1" applyBorder="1" applyProtection="1"/>
    <xf numFmtId="0" fontId="41" fillId="0" borderId="2" xfId="2" applyFont="1" applyFill="1" applyBorder="1" applyAlignment="1" applyProtection="1"/>
    <xf numFmtId="0" fontId="41" fillId="0" borderId="46" xfId="2" applyFont="1" applyFill="1" applyBorder="1" applyAlignment="1" applyProtection="1">
      <alignment horizontal="left" indent="1"/>
    </xf>
    <xf numFmtId="0" fontId="41" fillId="0" borderId="2" xfId="2" applyFont="1" applyFill="1" applyBorder="1" applyProtection="1"/>
    <xf numFmtId="0" fontId="41" fillId="0" borderId="47" xfId="2" quotePrefix="1" applyFont="1" applyFill="1" applyBorder="1" applyAlignment="1" applyProtection="1">
      <alignment horizontal="left" indent="1"/>
    </xf>
    <xf numFmtId="0" fontId="41" fillId="0" borderId="45" xfId="2" applyFont="1" applyFill="1" applyBorder="1" applyAlignment="1" applyProtection="1"/>
    <xf numFmtId="0" fontId="41" fillId="0" borderId="47" xfId="2" applyFont="1" applyFill="1" applyBorder="1" applyAlignment="1" applyProtection="1">
      <alignment horizontal="left" indent="1"/>
    </xf>
    <xf numFmtId="0" fontId="41" fillId="0" borderId="2" xfId="2" quotePrefix="1" applyFont="1" applyFill="1" applyBorder="1" applyAlignment="1" applyProtection="1"/>
    <xf numFmtId="0" fontId="41" fillId="0" borderId="2" xfId="2" quotePrefix="1" applyFont="1" applyFill="1" applyBorder="1" applyAlignment="1" applyProtection="1">
      <alignment horizontal="left"/>
    </xf>
    <xf numFmtId="0" fontId="41" fillId="0" borderId="46" xfId="2" quotePrefix="1" applyFont="1" applyFill="1" applyBorder="1" applyAlignment="1" applyProtection="1">
      <alignment horizontal="left" indent="1"/>
    </xf>
    <xf numFmtId="0" fontId="41" fillId="0" borderId="52" xfId="2" applyFont="1" applyFill="1" applyBorder="1" applyAlignment="1" applyProtection="1">
      <alignment horizontal="left" indent="1"/>
    </xf>
    <xf numFmtId="0" fontId="41" fillId="11" borderId="2" xfId="2" quotePrefix="1" applyFont="1" applyFill="1" applyBorder="1" applyAlignment="1">
      <alignment horizontal="left"/>
    </xf>
    <xf numFmtId="0" fontId="42" fillId="0" borderId="48" xfId="2" quotePrefix="1" applyFont="1" applyFill="1" applyBorder="1" applyAlignment="1" applyProtection="1">
      <alignment horizontal="left" indent="1"/>
    </xf>
    <xf numFmtId="0" fontId="46" fillId="11" borderId="48" xfId="2" quotePrefix="1" applyFont="1" applyFill="1" applyBorder="1" applyAlignment="1" applyProtection="1">
      <alignment horizontal="left"/>
    </xf>
    <xf numFmtId="0" fontId="54" fillId="0" borderId="0" xfId="2" quotePrefix="1" applyFont="1" applyAlignment="1">
      <alignment horizontal="left"/>
    </xf>
    <xf numFmtId="0" fontId="23" fillId="0" borderId="0" xfId="2" applyFont="1"/>
    <xf numFmtId="0" fontId="55" fillId="0" borderId="0" xfId="24" applyFont="1" applyAlignment="1">
      <alignment vertical="center" wrapText="1"/>
    </xf>
    <xf numFmtId="0" fontId="56" fillId="0" borderId="0" xfId="24" applyFont="1" applyAlignment="1">
      <alignment vertical="center" wrapText="1"/>
    </xf>
    <xf numFmtId="0" fontId="57" fillId="0" borderId="0" xfId="24" applyFont="1" applyAlignment="1">
      <alignment vertical="center" wrapText="1"/>
    </xf>
    <xf numFmtId="0" fontId="56" fillId="0" borderId="0" xfId="24" applyFont="1" applyAlignment="1">
      <alignment horizontal="center" vertical="center"/>
    </xf>
    <xf numFmtId="0" fontId="57" fillId="0" borderId="0" xfId="24" applyFont="1" applyAlignment="1">
      <alignment vertical="center"/>
    </xf>
    <xf numFmtId="0" fontId="57" fillId="0" borderId="53" xfId="24" applyFont="1" applyBorder="1" applyAlignment="1">
      <alignment vertical="center" wrapText="1"/>
    </xf>
    <xf numFmtId="0" fontId="58" fillId="0" borderId="2" xfId="24" applyFont="1" applyBorder="1" applyAlignment="1">
      <alignment horizontal="center" vertical="center" wrapText="1"/>
    </xf>
    <xf numFmtId="0" fontId="57" fillId="0" borderId="54" xfId="24" applyFont="1" applyBorder="1" applyAlignment="1">
      <alignment vertical="center" wrapText="1"/>
    </xf>
    <xf numFmtId="0" fontId="58" fillId="0" borderId="2" xfId="24" applyFont="1" applyFill="1" applyBorder="1" applyAlignment="1">
      <alignment horizontal="center" vertical="center" wrapText="1"/>
    </xf>
    <xf numFmtId="0" fontId="57" fillId="0" borderId="56" xfId="24" applyFont="1" applyBorder="1" applyAlignment="1">
      <alignment vertical="center" wrapText="1"/>
    </xf>
    <xf numFmtId="0" fontId="57" fillId="0" borderId="57" xfId="24" applyFont="1" applyBorder="1" applyAlignment="1">
      <alignment vertical="center" wrapText="1"/>
    </xf>
    <xf numFmtId="0" fontId="4" fillId="0" borderId="0" xfId="24"/>
    <xf numFmtId="0" fontId="57" fillId="0" borderId="55" xfId="24" quotePrefix="1" applyFont="1" applyBorder="1" applyAlignment="1">
      <alignment horizontal="left" vertical="center" wrapText="1"/>
    </xf>
    <xf numFmtId="0" fontId="57" fillId="0" borderId="57" xfId="24" quotePrefix="1" applyFont="1" applyBorder="1" applyAlignment="1">
      <alignment horizontal="left" vertical="center" wrapText="1"/>
    </xf>
    <xf numFmtId="0" fontId="57" fillId="0" borderId="58" xfId="24" quotePrefix="1" applyFont="1" applyBorder="1" applyAlignment="1">
      <alignment horizontal="left" vertical="center" wrapText="1"/>
    </xf>
    <xf numFmtId="0" fontId="3" fillId="0" borderId="0" xfId="20" quotePrefix="1" applyFont="1" applyAlignment="1" applyProtection="1">
      <alignment horizontal="left" vertical="top" wrapText="1"/>
      <protection locked="0"/>
    </xf>
    <xf numFmtId="0" fontId="26" fillId="0" borderId="32" xfId="2" quotePrefix="1" applyFont="1" applyBorder="1" applyAlignment="1">
      <alignment horizontal="left" indent="1"/>
    </xf>
    <xf numFmtId="164" fontId="17" fillId="12" borderId="17" xfId="1" applyNumberFormat="1" applyFont="1" applyFill="1" applyBorder="1" applyProtection="1"/>
    <xf numFmtId="164" fontId="17" fillId="12" borderId="0" xfId="1" applyNumberFormat="1" applyFont="1" applyFill="1"/>
    <xf numFmtId="0" fontId="59" fillId="0" borderId="0" xfId="2" quotePrefix="1" applyFont="1" applyBorder="1" applyAlignment="1">
      <alignment horizontal="left"/>
    </xf>
    <xf numFmtId="165" fontId="17" fillId="12" borderId="17" xfId="1" applyNumberFormat="1" applyFont="1" applyFill="1" applyBorder="1" applyProtection="1"/>
    <xf numFmtId="1" fontId="47" fillId="0" borderId="0" xfId="0" applyNumberFormat="1" applyFont="1"/>
    <xf numFmtId="1" fontId="38" fillId="0" borderId="0" xfId="8" applyNumberFormat="1" applyFont="1">
      <alignment horizontal="left" indent="1"/>
    </xf>
    <xf numFmtId="1" fontId="0" fillId="0" borderId="0" xfId="0" applyNumberFormat="1"/>
    <xf numFmtId="1" fontId="37" fillId="0" borderId="0" xfId="0" applyNumberFormat="1" applyFont="1" applyAlignment="1">
      <alignment horizontal="right" indent="1"/>
    </xf>
    <xf numFmtId="1" fontId="36" fillId="0" borderId="0" xfId="0" applyNumberFormat="1" applyFont="1"/>
    <xf numFmtId="1" fontId="38" fillId="0" borderId="0" xfId="0" applyNumberFormat="1" applyFont="1"/>
    <xf numFmtId="1" fontId="38" fillId="0" borderId="0" xfId="8" applyNumberFormat="1" applyFont="1" applyAlignment="1"/>
    <xf numFmtId="1" fontId="36" fillId="0" borderId="0" xfId="8" applyNumberFormat="1" applyFont="1" applyAlignment="1"/>
    <xf numFmtId="1" fontId="38" fillId="0" borderId="0" xfId="0" applyNumberFormat="1" applyFont="1" applyAlignment="1">
      <alignment horizontal="left"/>
    </xf>
    <xf numFmtId="1" fontId="36" fillId="0" borderId="0" xfId="0" applyNumberFormat="1" applyFont="1" applyAlignment="1">
      <alignment horizontal="left"/>
    </xf>
    <xf numFmtId="3" fontId="36" fillId="0" borderId="0" xfId="0" applyNumberFormat="1" applyFont="1" applyAlignment="1">
      <alignment horizontal="right" indent="1"/>
    </xf>
    <xf numFmtId="1" fontId="0" fillId="0" borderId="0" xfId="0" applyNumberFormat="1" applyAlignment="1" applyProtection="1">
      <alignment horizontal="left"/>
      <protection locked="0"/>
    </xf>
    <xf numFmtId="0" fontId="2" fillId="0" borderId="0" xfId="20" quotePrefix="1" applyFont="1" applyAlignment="1" applyProtection="1">
      <alignment horizontal="left"/>
      <protection locked="0"/>
    </xf>
    <xf numFmtId="1" fontId="38" fillId="0" borderId="0" xfId="8" quotePrefix="1" applyNumberFormat="1" applyFont="1" applyAlignment="1">
      <alignment horizontal="left" indent="1"/>
    </xf>
    <xf numFmtId="0" fontId="42" fillId="0" borderId="45" xfId="2" applyFont="1" applyFill="1" applyBorder="1" applyProtection="1"/>
    <xf numFmtId="0" fontId="42" fillId="0" borderId="47" xfId="2" applyFont="1" applyFill="1" applyBorder="1" applyAlignment="1" applyProtection="1">
      <alignment horizontal="left" indent="1"/>
    </xf>
    <xf numFmtId="49" fontId="37" fillId="0" borderId="0" xfId="0" applyNumberFormat="1" applyFont="1" applyAlignment="1">
      <alignment horizontal="right"/>
    </xf>
    <xf numFmtId="3" fontId="36" fillId="0" borderId="0" xfId="1" applyNumberFormat="1" applyFont="1" applyFill="1" applyBorder="1" applyAlignment="1">
      <alignment horizontal="right" indent="1"/>
    </xf>
    <xf numFmtId="3" fontId="37" fillId="0" borderId="0" xfId="1" applyNumberFormat="1" applyFont="1" applyFill="1" applyBorder="1" applyAlignment="1">
      <alignment horizontal="right" indent="1"/>
    </xf>
    <xf numFmtId="3" fontId="38" fillId="0" borderId="0" xfId="1" applyNumberFormat="1" applyFont="1" applyFill="1" applyBorder="1" applyAlignment="1">
      <alignment horizontal="right" indent="1"/>
    </xf>
    <xf numFmtId="3" fontId="0" fillId="0" borderId="0" xfId="1" applyNumberFormat="1" applyFont="1" applyFill="1" applyBorder="1" applyAlignment="1">
      <alignment horizontal="right" indent="1"/>
    </xf>
    <xf numFmtId="3" fontId="38" fillId="0" borderId="0" xfId="1" applyNumberFormat="1" applyFont="1" applyFill="1" applyBorder="1"/>
    <xf numFmtId="3" fontId="0" fillId="0" borderId="0" xfId="1" applyNumberFormat="1" applyFont="1" applyFill="1" applyBorder="1"/>
    <xf numFmtId="49" fontId="37" fillId="0" borderId="51" xfId="0" applyNumberFormat="1" applyFont="1" applyBorder="1"/>
    <xf numFmtId="49" fontId="37" fillId="0" borderId="51" xfId="0" quotePrefix="1" applyNumberFormat="1" applyFont="1" applyBorder="1" applyAlignment="1">
      <alignment horizontal="right" wrapText="1"/>
    </xf>
    <xf numFmtId="49" fontId="37" fillId="0" borderId="51" xfId="0" applyNumberFormat="1" applyFont="1" applyBorder="1" applyAlignment="1">
      <alignment horizontal="right"/>
    </xf>
    <xf numFmtId="1" fontId="47" fillId="0" borderId="0" xfId="0" quotePrefix="1" applyNumberFormat="1" applyFont="1" applyAlignment="1">
      <alignment horizontal="left"/>
    </xf>
    <xf numFmtId="168" fontId="14" fillId="2" borderId="0" xfId="6" applyNumberFormat="1" applyFont="1" applyFill="1" applyProtection="1"/>
    <xf numFmtId="168" fontId="14" fillId="2" borderId="13" xfId="6" applyNumberFormat="1" applyFont="1" applyFill="1" applyBorder="1" applyProtection="1"/>
    <xf numFmtId="168" fontId="14" fillId="2" borderId="30" xfId="6" applyNumberFormat="1" applyFont="1" applyFill="1" applyBorder="1" applyProtection="1"/>
    <xf numFmtId="168" fontId="17" fillId="0" borderId="0" xfId="2" applyNumberFormat="1" applyFont="1"/>
    <xf numFmtId="164" fontId="21" fillId="10" borderId="0" xfId="1" applyNumberFormat="1" applyFont="1" applyFill="1" applyBorder="1" applyProtection="1"/>
    <xf numFmtId="0" fontId="17" fillId="6" borderId="0" xfId="2" applyFont="1" applyFill="1" applyBorder="1"/>
    <xf numFmtId="166" fontId="44" fillId="0" borderId="0" xfId="2" quotePrefix="1" applyNumberFormat="1" applyFont="1" applyBorder="1" applyAlignment="1">
      <alignment horizontal="left"/>
    </xf>
    <xf numFmtId="0" fontId="25" fillId="7" borderId="3" xfId="2" applyFont="1" applyFill="1" applyBorder="1" applyAlignment="1">
      <alignment horizontal="center"/>
    </xf>
    <xf numFmtId="0" fontId="25" fillId="7" borderId="4" xfId="2" applyFont="1" applyFill="1" applyBorder="1" applyAlignment="1">
      <alignment horizontal="center"/>
    </xf>
    <xf numFmtId="0" fontId="25" fillId="7" borderId="5" xfId="2" applyFont="1" applyFill="1" applyBorder="1" applyAlignment="1">
      <alignment horizontal="center"/>
    </xf>
    <xf numFmtId="0" fontId="24" fillId="7" borderId="6" xfId="2" quotePrefix="1" applyFont="1" applyFill="1" applyBorder="1" applyAlignment="1">
      <alignment horizontal="center" vertical="center" wrapText="1"/>
    </xf>
    <xf numFmtId="0" fontId="24" fillId="7" borderId="0" xfId="2" applyFont="1" applyFill="1" applyBorder="1" applyAlignment="1">
      <alignment horizontal="center" vertical="center" wrapText="1"/>
    </xf>
    <xf numFmtId="0" fontId="24" fillId="7" borderId="7" xfId="2" applyFont="1" applyFill="1" applyBorder="1" applyAlignment="1">
      <alignment horizontal="center" vertical="center" wrapText="1"/>
    </xf>
    <xf numFmtId="0" fontId="24" fillId="7" borderId="6" xfId="2" applyFont="1" applyFill="1" applyBorder="1" applyAlignment="1">
      <alignment horizontal="center" vertical="center" wrapText="1"/>
    </xf>
    <xf numFmtId="0" fontId="24" fillId="7" borderId="6" xfId="2" applyFont="1" applyFill="1" applyBorder="1" applyAlignment="1">
      <alignment horizontal="center"/>
    </xf>
    <xf numFmtId="0" fontId="24" fillId="7" borderId="0" xfId="2" applyFont="1" applyFill="1" applyBorder="1" applyAlignment="1">
      <alignment horizontal="center"/>
    </xf>
    <xf numFmtId="0" fontId="24" fillId="7" borderId="7" xfId="2" applyFont="1" applyFill="1" applyBorder="1" applyAlignment="1">
      <alignment horizontal="center"/>
    </xf>
    <xf numFmtId="0" fontId="21" fillId="8" borderId="19" xfId="2" applyFont="1" applyFill="1" applyBorder="1" applyAlignment="1">
      <alignment horizontal="center" vertical="center" wrapText="1"/>
    </xf>
    <xf numFmtId="0" fontId="21" fillId="8" borderId="22" xfId="2" applyFont="1" applyFill="1" applyBorder="1" applyAlignment="1">
      <alignment horizontal="center" vertical="center" wrapText="1"/>
    </xf>
    <xf numFmtId="0" fontId="21" fillId="8" borderId="25" xfId="2" applyFont="1" applyFill="1" applyBorder="1" applyAlignment="1">
      <alignment horizontal="center" vertical="center" wrapText="1"/>
    </xf>
    <xf numFmtId="0" fontId="21" fillId="8" borderId="20" xfId="2" applyFont="1" applyFill="1" applyBorder="1" applyAlignment="1">
      <alignment horizontal="center" vertical="center" wrapText="1"/>
    </xf>
    <xf numFmtId="0" fontId="21" fillId="8" borderId="23" xfId="2" applyFont="1" applyFill="1" applyBorder="1" applyAlignment="1">
      <alignment horizontal="center" vertical="center" wrapText="1"/>
    </xf>
    <xf numFmtId="0" fontId="21" fillId="8" borderId="26" xfId="2" applyFont="1" applyFill="1" applyBorder="1" applyAlignment="1">
      <alignment horizontal="center" vertical="center" wrapText="1"/>
    </xf>
    <xf numFmtId="0" fontId="21" fillId="8" borderId="21" xfId="2" applyFont="1" applyFill="1" applyBorder="1" applyAlignment="1">
      <alignment horizontal="center" vertical="center" wrapText="1"/>
    </xf>
    <xf numFmtId="0" fontId="21" fillId="8" borderId="24" xfId="2" applyFont="1" applyFill="1" applyBorder="1" applyAlignment="1">
      <alignment horizontal="center" vertical="center" wrapText="1"/>
    </xf>
    <xf numFmtId="0" fontId="21" fillId="8" borderId="27" xfId="2" applyFont="1" applyFill="1" applyBorder="1" applyAlignment="1">
      <alignment horizontal="center" vertical="center" wrapText="1"/>
    </xf>
    <xf numFmtId="0" fontId="49" fillId="0" borderId="0" xfId="0" applyFont="1" applyAlignment="1">
      <alignment horizontal="left" vertical="center" wrapText="1"/>
    </xf>
    <xf numFmtId="0" fontId="0" fillId="0" borderId="0" xfId="0" applyAlignment="1">
      <alignment horizontal="left" vertical="center" wrapText="1"/>
    </xf>
  </cellXfs>
  <cellStyles count="25">
    <cellStyle name="Comma" xfId="1" builtinId="3"/>
    <cellStyle name="Comma 2" xfId="4" xr:uid="{00000000-0005-0000-0000-000001000000}"/>
    <cellStyle name="Comma 2 2" xfId="13" xr:uid="{00000000-0005-0000-0000-000002000000}"/>
    <cellStyle name="Comma 3" xfId="11" xr:uid="{00000000-0005-0000-0000-000003000000}"/>
    <cellStyle name="Comma 4" xfId="19" xr:uid="{00000000-0005-0000-0000-000004000000}"/>
    <cellStyle name="Comma 5" xfId="21" xr:uid="{00000000-0005-0000-0000-000005000000}"/>
    <cellStyle name="Currency 2" xfId="5" xr:uid="{00000000-0005-0000-0000-000006000000}"/>
    <cellStyle name="Currency 3" xfId="12" xr:uid="{00000000-0005-0000-0000-000007000000}"/>
    <cellStyle name="Normal" xfId="0" builtinId="0"/>
    <cellStyle name="Normal 10" xfId="18" xr:uid="{00000000-0005-0000-0000-000009000000}"/>
    <cellStyle name="Normal 11" xfId="20" xr:uid="{00000000-0005-0000-0000-00000A000000}"/>
    <cellStyle name="Normal 12" xfId="24" xr:uid="{00000000-0005-0000-0000-00000B000000}"/>
    <cellStyle name="Normal 2" xfId="2" xr:uid="{00000000-0005-0000-0000-00000C000000}"/>
    <cellStyle name="Normal 3" xfId="3" xr:uid="{00000000-0005-0000-0000-00000D000000}"/>
    <cellStyle name="Normal 3 2" xfId="14" xr:uid="{00000000-0005-0000-0000-00000E000000}"/>
    <cellStyle name="Normal 4" xfId="6" xr:uid="{00000000-0005-0000-0000-00000F000000}"/>
    <cellStyle name="Normal 5" xfId="9" xr:uid="{00000000-0005-0000-0000-000010000000}"/>
    <cellStyle name="Normal 6" xfId="10" xr:uid="{00000000-0005-0000-0000-000011000000}"/>
    <cellStyle name="Normal 7" xfId="15" xr:uid="{00000000-0005-0000-0000-000012000000}"/>
    <cellStyle name="Normal 8" xfId="16" xr:uid="{00000000-0005-0000-0000-000013000000}"/>
    <cellStyle name="Normal 9" xfId="17" xr:uid="{00000000-0005-0000-0000-000014000000}"/>
    <cellStyle name="Normal 9 2" xfId="23" xr:uid="{00000000-0005-0000-0000-000015000000}"/>
    <cellStyle name="Percent 2" xfId="7" xr:uid="{00000000-0005-0000-0000-000016000000}"/>
    <cellStyle name="Percent 3" xfId="22" xr:uid="{00000000-0005-0000-0000-000017000000}"/>
    <cellStyle name="Style 1" xfId="8" xr:uid="{00000000-0005-0000-0000-000018000000}"/>
  </cellStyles>
  <dxfs count="140">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s>
  <tableStyles count="0" defaultTableStyle="TableStyleMedium9" defaultPivotStyle="PivotStyleLight16"/>
  <colors>
    <mruColors>
      <color rgb="FFFFFFA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0</xdr:colOff>
          <xdr:row>159</xdr:row>
          <xdr:rowOff>0</xdr:rowOff>
        </xdr:from>
        <xdr:to>
          <xdr:col>19</xdr:col>
          <xdr:colOff>0</xdr:colOff>
          <xdr:row>159</xdr:row>
          <xdr:rowOff>0</xdr:rowOff>
        </xdr:to>
        <xdr:sp macro="" textlink="">
          <xdr:nvSpPr>
            <xdr:cNvPr id="7169" name="Button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RUN DATEMACR</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K164"/>
  <sheetViews>
    <sheetView tabSelected="1" zoomScale="65" zoomScaleNormal="65" workbookViewId="0"/>
  </sheetViews>
  <sheetFormatPr defaultColWidth="8.85546875" defaultRowHeight="12.75"/>
  <cols>
    <col min="1" max="1" width="23.7109375" style="3" customWidth="1"/>
    <col min="2" max="3" width="16.7109375" style="3" customWidth="1"/>
    <col min="4" max="4" width="3.7109375" style="3" customWidth="1"/>
    <col min="5" max="5" width="23.7109375" style="3" customWidth="1"/>
    <col min="6" max="7" width="16.7109375" style="3" customWidth="1"/>
    <col min="8" max="8" width="3.7109375" style="3" customWidth="1"/>
    <col min="9" max="9" width="23.7109375" style="3" customWidth="1"/>
    <col min="10" max="11" width="16.7109375" style="3" customWidth="1"/>
    <col min="12" max="16384" width="8.85546875" style="3"/>
  </cols>
  <sheetData>
    <row r="1" spans="1:11" ht="18.75">
      <c r="A1" s="189" t="s">
        <v>637</v>
      </c>
      <c r="B1" s="190"/>
      <c r="C1" s="266">
        <f>K43</f>
        <v>146700000</v>
      </c>
      <c r="D1" s="266"/>
      <c r="E1" s="231" t="s">
        <v>640</v>
      </c>
      <c r="F1" s="191"/>
      <c r="G1" s="192"/>
      <c r="H1" s="190"/>
      <c r="I1" s="190"/>
      <c r="J1" s="190"/>
      <c r="K1" s="190"/>
    </row>
    <row r="2" spans="1:11" ht="30" customHeight="1">
      <c r="A2" s="193" t="s">
        <v>512</v>
      </c>
      <c r="B2" s="194" t="s">
        <v>513</v>
      </c>
      <c r="C2" s="193" t="s">
        <v>514</v>
      </c>
      <c r="D2" s="195"/>
      <c r="E2" s="193" t="s">
        <v>512</v>
      </c>
      <c r="F2" s="194" t="s">
        <v>513</v>
      </c>
      <c r="G2" s="193" t="s">
        <v>514</v>
      </c>
      <c r="H2" s="195"/>
      <c r="I2" s="193" t="s">
        <v>512</v>
      </c>
      <c r="J2" s="194" t="s">
        <v>513</v>
      </c>
      <c r="K2" s="193" t="s">
        <v>514</v>
      </c>
    </row>
    <row r="3" spans="1:11" ht="18" customHeight="1">
      <c r="A3" s="196" t="s">
        <v>0</v>
      </c>
      <c r="B3" s="165">
        <f>VLOOKUP($A3,Calculations!$P$13:$R$133,2,FALSE)</f>
        <v>1809919</v>
      </c>
      <c r="C3" s="165">
        <f>VLOOKUP($A3,Calculations!$P$13:$R$133,3,FALSE)</f>
        <v>909665</v>
      </c>
      <c r="D3" s="195"/>
      <c r="E3" s="197" t="s">
        <v>17</v>
      </c>
      <c r="F3" s="166">
        <f>VLOOKUP($E3,Calculations!$P$13:$R$133,2,FALSE)</f>
        <v>350000</v>
      </c>
      <c r="G3" s="166">
        <f>VLOOKUP($E3,Calculations!$P$13:$R$133,3,FALSE)</f>
        <v>350000</v>
      </c>
      <c r="H3" s="195"/>
      <c r="I3" s="196" t="s">
        <v>56</v>
      </c>
      <c r="J3" s="165">
        <f>VLOOKUP($I3,Calculations!$P$13:$R$133,2,FALSE)</f>
        <v>9332778</v>
      </c>
      <c r="K3" s="165">
        <f>VLOOKUP($I3,Calculations!$P$13:$R$133,3,FALSE)</f>
        <v>7361695</v>
      </c>
    </row>
    <row r="4" spans="1:11" ht="18" customHeight="1">
      <c r="A4" s="198" t="s">
        <v>121</v>
      </c>
      <c r="B4" s="167"/>
      <c r="C4" s="168">
        <f>VLOOKUP($A4,Calculations!$P$13:$R$133,3,FALSE)</f>
        <v>900254</v>
      </c>
      <c r="D4" s="195"/>
      <c r="E4" s="197" t="s">
        <v>18</v>
      </c>
      <c r="F4" s="166">
        <f>VLOOKUP($E4,Calculations!$P$13:$R$133,2,FALSE)</f>
        <v>350000</v>
      </c>
      <c r="G4" s="166">
        <f>VLOOKUP($E4,Calculations!$P$13:$R$133,3,FALSE)</f>
        <v>350000</v>
      </c>
      <c r="H4" s="195"/>
      <c r="I4" s="198" t="s">
        <v>141</v>
      </c>
      <c r="J4" s="167"/>
      <c r="K4" s="168">
        <f>VLOOKUP($I4,Calculations!$P$13:$R$133,3,FALSE)</f>
        <v>1971083</v>
      </c>
    </row>
    <row r="5" spans="1:11" ht="18" customHeight="1">
      <c r="A5" s="199" t="s">
        <v>1</v>
      </c>
      <c r="B5" s="166">
        <f>VLOOKUP($A5,Calculations!$P$13:$R$133,2,FALSE)</f>
        <v>350000</v>
      </c>
      <c r="C5" s="166">
        <f>VLOOKUP($A5,Calculations!$P$13:$R$133,3,FALSE)</f>
        <v>350000</v>
      </c>
      <c r="D5" s="195"/>
      <c r="E5" s="197" t="s">
        <v>19</v>
      </c>
      <c r="F5" s="166">
        <f>VLOOKUP($E5,Calculations!$P$13:$R$133,2,FALSE)</f>
        <v>350000</v>
      </c>
      <c r="G5" s="166">
        <f>VLOOKUP($E5,Calculations!$P$13:$R$133,3,FALSE)</f>
        <v>350000</v>
      </c>
      <c r="H5" s="195"/>
      <c r="I5" s="196" t="s">
        <v>57</v>
      </c>
      <c r="J5" s="165">
        <f>VLOOKUP($I5,Calculations!$P$13:$R$133,2,FALSE)</f>
        <v>2561427</v>
      </c>
      <c r="K5" s="165">
        <f>VLOOKUP($I5,Calculations!$P$13:$R$133,3,FALSE)</f>
        <v>2060924</v>
      </c>
    </row>
    <row r="6" spans="1:11" ht="18" customHeight="1">
      <c r="A6" s="196" t="s">
        <v>2</v>
      </c>
      <c r="B6" s="165">
        <f>VLOOKUP($A6,Calculations!$P$13:$R$133,2,FALSE)</f>
        <v>1168009</v>
      </c>
      <c r="C6" s="165">
        <f>VLOOKUP($A6,Calculations!$P$13:$R$133,3,FALSE)</f>
        <v>936860</v>
      </c>
      <c r="D6" s="195"/>
      <c r="E6" s="197" t="s">
        <v>20</v>
      </c>
      <c r="F6" s="166">
        <f>VLOOKUP($E6,Calculations!$P$13:$R$133,2,FALSE)</f>
        <v>350000</v>
      </c>
      <c r="G6" s="166">
        <f>VLOOKUP($E6,Calculations!$P$13:$R$133,3,FALSE)</f>
        <v>350000</v>
      </c>
      <c r="H6" s="195"/>
      <c r="I6" s="198" t="s">
        <v>142</v>
      </c>
      <c r="J6" s="167"/>
      <c r="K6" s="168">
        <f>VLOOKUP($I6,Calculations!$P$13:$R$133,3,FALSE)</f>
        <v>500503</v>
      </c>
    </row>
    <row r="7" spans="1:11" ht="18" customHeight="1">
      <c r="A7" s="198" t="s">
        <v>123</v>
      </c>
      <c r="B7" s="167"/>
      <c r="C7" s="168">
        <f>VLOOKUP($A7,Calculations!$P$13:$R$133,3,FALSE)</f>
        <v>231149</v>
      </c>
      <c r="D7" s="195"/>
      <c r="E7" s="197" t="s">
        <v>21</v>
      </c>
      <c r="F7" s="166">
        <f>VLOOKUP($E7,Calculations!$P$13:$R$133,2,FALSE)</f>
        <v>350000</v>
      </c>
      <c r="G7" s="166">
        <f>VLOOKUP($E7,Calculations!$P$13:$R$133,3,FALSE)</f>
        <v>350000</v>
      </c>
      <c r="H7" s="195"/>
      <c r="I7" s="196" t="s">
        <v>58</v>
      </c>
      <c r="J7" s="165">
        <f>VLOOKUP($I7,Calculations!$P$13:$R$133,2,FALSE)</f>
        <v>9669382</v>
      </c>
      <c r="K7" s="165">
        <f>VLOOKUP($I7,Calculations!$P$13:$R$133,3,FALSE)</f>
        <v>7311986</v>
      </c>
    </row>
    <row r="8" spans="1:11" ht="18" customHeight="1">
      <c r="A8" s="199" t="s">
        <v>3</v>
      </c>
      <c r="B8" s="166">
        <f>VLOOKUP($A8,Calculations!$P$13:$R$133,2,FALSE)</f>
        <v>350000</v>
      </c>
      <c r="C8" s="166">
        <f>VLOOKUP($A8,Calculations!$P$13:$R$133,3,FALSE)</f>
        <v>350000</v>
      </c>
      <c r="D8" s="195"/>
      <c r="E8" s="197" t="s">
        <v>22</v>
      </c>
      <c r="F8" s="166">
        <f>VLOOKUP($E8,Calculations!$P$13:$R$133,2,FALSE)</f>
        <v>350000</v>
      </c>
      <c r="G8" s="166">
        <f>VLOOKUP($E8,Calculations!$P$13:$R$133,3,FALSE)</f>
        <v>350000</v>
      </c>
      <c r="H8" s="195"/>
      <c r="I8" s="200" t="s">
        <v>59</v>
      </c>
      <c r="J8" s="169"/>
      <c r="K8" s="170">
        <f>VLOOKUP($I8,Calculations!$P$13:$R$133,3,FALSE)</f>
        <v>627543</v>
      </c>
    </row>
    <row r="9" spans="1:11" ht="18" customHeight="1">
      <c r="A9" s="196" t="s">
        <v>4</v>
      </c>
      <c r="B9" s="165">
        <f>VLOOKUP($A9,Calculations!$P$13:$R$133,2,FALSE)</f>
        <v>4009629</v>
      </c>
      <c r="C9" s="165">
        <f>VLOOKUP($A9,Calculations!$P$13:$R$133,3,FALSE)</f>
        <v>2218929</v>
      </c>
      <c r="D9" s="195"/>
      <c r="E9" s="199" t="s">
        <v>23</v>
      </c>
      <c r="F9" s="166">
        <f>VLOOKUP($E9,Calculations!$P$13:$R$133,2,FALSE)</f>
        <v>350000</v>
      </c>
      <c r="G9" s="166">
        <f>VLOOKUP($E9,Calculations!$P$13:$R$133,3,FALSE)</f>
        <v>350000</v>
      </c>
      <c r="H9" s="195"/>
      <c r="I9" s="202" t="s">
        <v>60</v>
      </c>
      <c r="J9" s="169"/>
      <c r="K9" s="170">
        <f>VLOOKUP($I9,Calculations!$P$13:$R$133,3,FALSE)</f>
        <v>517312</v>
      </c>
    </row>
    <row r="10" spans="1:11" ht="18" customHeight="1">
      <c r="A10" s="202" t="s">
        <v>89</v>
      </c>
      <c r="B10" s="169"/>
      <c r="C10" s="170">
        <f>VLOOKUP($A10,Calculations!$P$13:$R$133,3,FALSE)</f>
        <v>127907</v>
      </c>
      <c r="D10" s="195"/>
      <c r="E10" s="203" t="s">
        <v>24</v>
      </c>
      <c r="F10" s="166">
        <f>VLOOKUP($E10,Calculations!$P$13:$R$133,2,FALSE)</f>
        <v>350000</v>
      </c>
      <c r="G10" s="166">
        <f>VLOOKUP($E10,Calculations!$P$13:$R$133,3,FALSE)</f>
        <v>350000</v>
      </c>
      <c r="H10" s="195"/>
      <c r="I10" s="202" t="s">
        <v>61</v>
      </c>
      <c r="J10" s="169"/>
      <c r="K10" s="170">
        <f>VLOOKUP($I10,Calculations!$P$13:$R$133,3,FALSE)</f>
        <v>442858</v>
      </c>
    </row>
    <row r="11" spans="1:11" ht="18" customHeight="1">
      <c r="A11" s="202" t="s">
        <v>90</v>
      </c>
      <c r="B11" s="169"/>
      <c r="C11" s="170">
        <f>VLOOKUP($A11,Calculations!$P$13:$R$133,3,FALSE)</f>
        <v>557739</v>
      </c>
      <c r="D11" s="195"/>
      <c r="E11" s="197" t="s">
        <v>25</v>
      </c>
      <c r="F11" s="166">
        <f>VLOOKUP($E11,Calculations!$P$13:$R$133,2,FALSE)</f>
        <v>1277607</v>
      </c>
      <c r="G11" s="166">
        <f>VLOOKUP($E11,Calculations!$P$13:$R$133,3,FALSE)</f>
        <v>1277607</v>
      </c>
      <c r="H11" s="195"/>
      <c r="I11" s="198" t="s">
        <v>62</v>
      </c>
      <c r="J11" s="167"/>
      <c r="K11" s="168">
        <f>VLOOKUP($I11,Calculations!$P$13:$R$133,3,FALSE)</f>
        <v>769683</v>
      </c>
    </row>
    <row r="12" spans="1:11" ht="18" customHeight="1">
      <c r="A12" s="202" t="s">
        <v>91</v>
      </c>
      <c r="B12" s="169"/>
      <c r="C12" s="170">
        <f>VLOOKUP($A12,Calculations!$P$13:$R$133,3,FALSE)</f>
        <v>783482</v>
      </c>
      <c r="D12" s="195"/>
      <c r="E12" s="197" t="s">
        <v>26</v>
      </c>
      <c r="F12" s="166">
        <f>VLOOKUP($E12,Calculations!$P$13:$R$133,2,FALSE)</f>
        <v>710064</v>
      </c>
      <c r="G12" s="166">
        <f>VLOOKUP($E12,Calculations!$P$13:$R$133,3,FALSE)</f>
        <v>710064</v>
      </c>
      <c r="H12" s="195"/>
      <c r="I12" s="199" t="s">
        <v>63</v>
      </c>
      <c r="J12" s="166">
        <f>VLOOKUP($I12,Calculations!$P$13:$R$133,2,FALSE)</f>
        <v>3586915</v>
      </c>
      <c r="K12" s="166">
        <f>VLOOKUP($I12,Calculations!$P$13:$R$133,3,FALSE)</f>
        <v>3586915</v>
      </c>
    </row>
    <row r="13" spans="1:11" ht="18" customHeight="1">
      <c r="A13" s="198" t="s">
        <v>92</v>
      </c>
      <c r="B13" s="167"/>
      <c r="C13" s="168">
        <f>VLOOKUP($A13,Calculations!$P$13:$R$133,3,FALSE)</f>
        <v>321572</v>
      </c>
      <c r="D13" s="195"/>
      <c r="E13" s="196" t="s">
        <v>27</v>
      </c>
      <c r="F13" s="165">
        <f>VLOOKUP($E13,Calculations!$P$13:$R$133,2,FALSE)</f>
        <v>9751588</v>
      </c>
      <c r="G13" s="165">
        <f>VLOOKUP($E13,Calculations!$P$13:$R$133,3,FALSE)</f>
        <v>7160591</v>
      </c>
      <c r="H13" s="195"/>
      <c r="I13" s="247" t="s">
        <v>64</v>
      </c>
      <c r="J13" s="165">
        <f>VLOOKUP($I13,Calculations!$P$13:$R$133,2,FALSE)</f>
        <v>6498996</v>
      </c>
      <c r="K13" s="165">
        <f>VLOOKUP($I13,Calculations!$P$13:$R$133,3,FALSE)</f>
        <v>3371679</v>
      </c>
    </row>
    <row r="14" spans="1:11" ht="18" customHeight="1">
      <c r="A14" s="196" t="s">
        <v>5</v>
      </c>
      <c r="B14" s="165">
        <f>VLOOKUP($A14,Calculations!$P$13:$R$133,2,FALSE)</f>
        <v>12730225</v>
      </c>
      <c r="C14" s="165">
        <f>VLOOKUP($A14,Calculations!$P$13:$R$133,3,FALSE)</f>
        <v>2282529</v>
      </c>
      <c r="D14" s="195"/>
      <c r="E14" s="198" t="s">
        <v>140</v>
      </c>
      <c r="F14" s="167"/>
      <c r="G14" s="168">
        <f>VLOOKUP($E14,Calculations!$P$13:$R$133,3,FALSE)</f>
        <v>2590997</v>
      </c>
      <c r="H14" s="195"/>
      <c r="I14" s="248" t="s">
        <v>65</v>
      </c>
      <c r="J14" s="169"/>
      <c r="K14" s="170">
        <f>VLOOKUP($I14,Calculations!$P$13:$R$133,3,FALSE)</f>
        <v>779230</v>
      </c>
    </row>
    <row r="15" spans="1:11" ht="18" customHeight="1">
      <c r="A15" s="202" t="s">
        <v>124</v>
      </c>
      <c r="B15" s="169"/>
      <c r="C15" s="170">
        <f>VLOOKUP($A15,Calculations!$P$13:$R$133,3,FALSE)</f>
        <v>386999</v>
      </c>
      <c r="D15" s="195"/>
      <c r="E15" s="197" t="s">
        <v>28</v>
      </c>
      <c r="F15" s="166">
        <f>VLOOKUP($E15,Calculations!$P$13:$R$133,2,FALSE)</f>
        <v>350000</v>
      </c>
      <c r="G15" s="166">
        <f>VLOOKUP($E15,Calculations!$P$13:$R$133,3,FALSE)</f>
        <v>350000</v>
      </c>
      <c r="H15" s="195"/>
      <c r="I15" s="202" t="s">
        <v>66</v>
      </c>
      <c r="J15" s="169"/>
      <c r="K15" s="170">
        <f>VLOOKUP($I15,Calculations!$P$13:$R$133,3,FALSE)</f>
        <v>558264</v>
      </c>
    </row>
    <row r="16" spans="1:11" ht="18" customHeight="1">
      <c r="A16" s="202" t="s">
        <v>125</v>
      </c>
      <c r="B16" s="169"/>
      <c r="C16" s="170">
        <f>VLOOKUP($A16,Calculations!$P$13:$R$133,3,FALSE)</f>
        <v>851652</v>
      </c>
      <c r="D16" s="195"/>
      <c r="E16" s="197" t="s">
        <v>29</v>
      </c>
      <c r="F16" s="166">
        <f>VLOOKUP($E16,Calculations!$P$13:$R$133,2,FALSE)</f>
        <v>1066250</v>
      </c>
      <c r="G16" s="166">
        <f>VLOOKUP($E16,Calculations!$P$13:$R$133,3,FALSE)</f>
        <v>1066250</v>
      </c>
      <c r="H16" s="195"/>
      <c r="I16" s="198" t="s">
        <v>67</v>
      </c>
      <c r="J16" s="167"/>
      <c r="K16" s="168">
        <f>VLOOKUP($I16,Calculations!$P$13:$R$133,3,FALSE)</f>
        <v>1789823</v>
      </c>
    </row>
    <row r="17" spans="1:11" ht="18" customHeight="1">
      <c r="A17" s="202" t="s">
        <v>126</v>
      </c>
      <c r="B17" s="169"/>
      <c r="C17" s="170">
        <f>VLOOKUP($A17,Calculations!$P$13:$R$133,3,FALSE)</f>
        <v>692524</v>
      </c>
      <c r="D17" s="195"/>
      <c r="E17" s="197" t="s">
        <v>30</v>
      </c>
      <c r="F17" s="166">
        <f>VLOOKUP($E17,Calculations!$P$13:$R$133,2,FALSE)</f>
        <v>350000</v>
      </c>
      <c r="G17" s="166">
        <f>VLOOKUP($E17,Calculations!$P$13:$R$133,3,FALSE)</f>
        <v>350000</v>
      </c>
      <c r="H17" s="195"/>
      <c r="I17" s="196" t="s">
        <v>68</v>
      </c>
      <c r="J17" s="165">
        <f>VLOOKUP($I17,Calculations!$P$13:$R$133,2,FALSE)</f>
        <v>4725906</v>
      </c>
      <c r="K17" s="165">
        <f>VLOOKUP($I17,Calculations!$P$13:$R$133,3,FALSE)</f>
        <v>3692823</v>
      </c>
    </row>
    <row r="18" spans="1:11" ht="18" customHeight="1">
      <c r="A18" s="202" t="s">
        <v>88</v>
      </c>
      <c r="B18" s="169"/>
      <c r="C18" s="170">
        <f>VLOOKUP($A18,Calculations!$P$13:$R$133,3,FALSE)</f>
        <v>528304</v>
      </c>
      <c r="D18" s="195"/>
      <c r="E18" s="197" t="s">
        <v>31</v>
      </c>
      <c r="F18" s="166">
        <f>VLOOKUP($E18,Calculations!$P$13:$R$133,2,FALSE)</f>
        <v>350000</v>
      </c>
      <c r="G18" s="166">
        <f>VLOOKUP($E18,Calculations!$P$13:$R$133,3,FALSE)</f>
        <v>350000</v>
      </c>
      <c r="H18" s="195"/>
      <c r="I18" s="202" t="s">
        <v>69</v>
      </c>
      <c r="J18" s="169"/>
      <c r="K18" s="170">
        <f>VLOOKUP($I18,Calculations!$P$13:$R$133,3,FALSE)</f>
        <v>722118</v>
      </c>
    </row>
    <row r="19" spans="1:11" ht="18" customHeight="1">
      <c r="A19" s="200" t="s">
        <v>601</v>
      </c>
      <c r="B19" s="169"/>
      <c r="C19" s="170">
        <f>VLOOKUP($A19,Calculations!$P$13:$R$133,3,FALSE)</f>
        <v>1247562</v>
      </c>
      <c r="D19" s="195"/>
      <c r="E19" s="204" t="s">
        <v>32</v>
      </c>
      <c r="F19" s="166">
        <f>VLOOKUP($E19,Calculations!$P$13:$R$133,2,FALSE)</f>
        <v>350000</v>
      </c>
      <c r="G19" s="166">
        <f>VLOOKUP($E19,Calculations!$P$13:$R$133,3,FALSE)</f>
        <v>350000</v>
      </c>
      <c r="H19" s="195"/>
      <c r="I19" s="198" t="s">
        <v>143</v>
      </c>
      <c r="J19" s="167"/>
      <c r="K19" s="168">
        <f>VLOOKUP($I19,Calculations!$P$13:$R$133,3,FALSE)</f>
        <v>310965</v>
      </c>
    </row>
    <row r="20" spans="1:11" ht="18" customHeight="1">
      <c r="A20" s="202" t="s">
        <v>127</v>
      </c>
      <c r="B20" s="169"/>
      <c r="C20" s="170">
        <f>VLOOKUP($A20,Calculations!$P$13:$R$133,3,FALSE)</f>
        <v>1000596</v>
      </c>
      <c r="D20" s="195"/>
      <c r="E20" s="204" t="s">
        <v>33</v>
      </c>
      <c r="F20" s="166">
        <f>VLOOKUP($E20,Calculations!$P$13:$R$133,2,FALSE)</f>
        <v>2428342</v>
      </c>
      <c r="G20" s="166">
        <f>VLOOKUP($E20,Calculations!$P$13:$R$133,3,FALSE)</f>
        <v>2428342</v>
      </c>
      <c r="H20" s="195"/>
      <c r="I20" s="199" t="s">
        <v>70</v>
      </c>
      <c r="J20" s="166">
        <f>VLOOKUP($I20,Calculations!$P$13:$R$133,2,FALSE)</f>
        <v>498707</v>
      </c>
      <c r="K20" s="166">
        <f>VLOOKUP($I20,Calculations!$P$13:$R$133,3,FALSE)</f>
        <v>498707</v>
      </c>
    </row>
    <row r="21" spans="1:11" ht="18" customHeight="1">
      <c r="A21" s="202" t="s">
        <v>128</v>
      </c>
      <c r="B21" s="169"/>
      <c r="C21" s="170">
        <f>VLOOKUP($A21,Calculations!$P$13:$R$133,3,FALSE)</f>
        <v>477383</v>
      </c>
      <c r="D21" s="195"/>
      <c r="E21" s="201" t="s">
        <v>34</v>
      </c>
      <c r="F21" s="165">
        <f>VLOOKUP($E21,Calculations!$P$13:$R$133,2,FALSE)</f>
        <v>4956845</v>
      </c>
      <c r="G21" s="165">
        <f>VLOOKUP($E21,Calculations!$P$13:$R$133,3,FALSE)</f>
        <v>3107941</v>
      </c>
      <c r="H21" s="195"/>
      <c r="I21" s="199" t="s">
        <v>71</v>
      </c>
      <c r="J21" s="166">
        <f>VLOOKUP($I21,Calculations!$P$13:$R$133,2,FALSE)</f>
        <v>1739458</v>
      </c>
      <c r="K21" s="166">
        <f>VLOOKUP($I21,Calculations!$P$13:$R$133,3,FALSE)</f>
        <v>1739458</v>
      </c>
    </row>
    <row r="22" spans="1:11" ht="18" customHeight="1">
      <c r="A22" s="202" t="s">
        <v>129</v>
      </c>
      <c r="B22" s="169"/>
      <c r="C22" s="170">
        <f>VLOOKUP($A22,Calculations!$P$13:$R$133,3,FALSE)</f>
        <v>390818</v>
      </c>
      <c r="D22" s="195"/>
      <c r="E22" s="202" t="s">
        <v>35</v>
      </c>
      <c r="F22" s="169"/>
      <c r="G22" s="170">
        <f>VLOOKUP($E22,Calculations!$P$13:$R$133,3,FALSE)</f>
        <v>1237229</v>
      </c>
      <c r="H22" s="195"/>
      <c r="I22" s="196" t="s">
        <v>72</v>
      </c>
      <c r="J22" s="165">
        <f>VLOOKUP($I22,Calculations!$P$13:$R$133,2,FALSE)</f>
        <v>2134779</v>
      </c>
      <c r="K22" s="165">
        <f>VLOOKUP($I22,Calculations!$P$13:$R$133,3,FALSE)</f>
        <v>496122</v>
      </c>
    </row>
    <row r="23" spans="1:11" ht="18" customHeight="1">
      <c r="A23" s="202" t="s">
        <v>130</v>
      </c>
      <c r="B23" s="169"/>
      <c r="C23" s="170">
        <f>VLOOKUP($A23,Calculations!$P$13:$R$133,3,FALSE)</f>
        <v>915303</v>
      </c>
      <c r="D23" s="195"/>
      <c r="E23" s="205" t="s">
        <v>603</v>
      </c>
      <c r="F23" s="167"/>
      <c r="G23" s="168">
        <f>VLOOKUP($E23,Calculations!$P$13:$R$133,3,FALSE)</f>
        <v>611675</v>
      </c>
      <c r="H23" s="195"/>
      <c r="I23" s="200" t="s">
        <v>607</v>
      </c>
      <c r="J23" s="169"/>
      <c r="K23" s="170">
        <f>VLOOKUP($I23,Calculations!$P$13:$R$133,3,FALSE)</f>
        <v>294600</v>
      </c>
    </row>
    <row r="24" spans="1:11" ht="18" customHeight="1">
      <c r="A24" s="202" t="s">
        <v>131</v>
      </c>
      <c r="B24" s="169"/>
      <c r="C24" s="170">
        <f>VLOOKUP($A24,Calculations!$P$13:$R$133,3,FALSE)</f>
        <v>1112622</v>
      </c>
      <c r="D24" s="195"/>
      <c r="E24" s="196" t="s">
        <v>36</v>
      </c>
      <c r="F24" s="165">
        <f>VLOOKUP($E24,Calculations!$P$13:$R$133,2,FALSE)</f>
        <v>1993884</v>
      </c>
      <c r="G24" s="165">
        <f>VLOOKUP($E24,Calculations!$P$13:$R$133,3,FALSE)</f>
        <v>671540</v>
      </c>
      <c r="H24" s="195"/>
      <c r="I24" s="198" t="s">
        <v>73</v>
      </c>
      <c r="J24" s="167"/>
      <c r="K24" s="168">
        <f>VLOOKUP($I24,Calculations!$P$13:$R$133,3,FALSE)</f>
        <v>1344057</v>
      </c>
    </row>
    <row r="25" spans="1:11" ht="18" customHeight="1">
      <c r="A25" s="202" t="s">
        <v>132</v>
      </c>
      <c r="B25" s="169"/>
      <c r="C25" s="170">
        <f>VLOOKUP($A25,Calculations!$P$13:$R$133,3,FALSE)</f>
        <v>598321</v>
      </c>
      <c r="D25" s="195"/>
      <c r="E25" s="198" t="s">
        <v>37</v>
      </c>
      <c r="F25" s="167"/>
      <c r="G25" s="168">
        <f>VLOOKUP($E25,Calculations!$P$13:$R$133,3,FALSE)</f>
        <v>1322344</v>
      </c>
      <c r="H25" s="195"/>
      <c r="I25" s="199" t="s">
        <v>74</v>
      </c>
      <c r="J25" s="166">
        <f>VLOOKUP($I25,Calculations!$P$13:$R$133,2,FALSE)</f>
        <v>1230633</v>
      </c>
      <c r="K25" s="166">
        <f>VLOOKUP($I25,Calculations!$P$13:$R$133,3,FALSE)</f>
        <v>1230633</v>
      </c>
    </row>
    <row r="26" spans="1:11" ht="18" customHeight="1">
      <c r="A26" s="202" t="s">
        <v>133</v>
      </c>
      <c r="B26" s="169"/>
      <c r="C26" s="170">
        <f>VLOOKUP($A26,Calculations!$P$13:$R$133,3,FALSE)</f>
        <v>744718</v>
      </c>
      <c r="D26" s="195"/>
      <c r="E26" s="199" t="s">
        <v>38</v>
      </c>
      <c r="F26" s="166">
        <f>VLOOKUP($E26,Calculations!$P$13:$R$133,2,FALSE)</f>
        <v>350000</v>
      </c>
      <c r="G26" s="166">
        <f>VLOOKUP($E26,Calculations!$P$13:$R$133,3,FALSE)</f>
        <v>350000</v>
      </c>
      <c r="H26" s="195"/>
      <c r="I26" s="196" t="s">
        <v>75</v>
      </c>
      <c r="J26" s="165">
        <f>VLOOKUP($I26,Calculations!$P$13:$R$133,2,FALSE)</f>
        <v>2901936</v>
      </c>
      <c r="K26" s="165">
        <f>VLOOKUP($I26,Calculations!$P$13:$R$133,3,FALSE)</f>
        <v>2520331</v>
      </c>
    </row>
    <row r="27" spans="1:11" ht="18" customHeight="1">
      <c r="A27" s="202" t="s">
        <v>134</v>
      </c>
      <c r="B27" s="169"/>
      <c r="C27" s="170">
        <f>VLOOKUP($A27,Calculations!$P$13:$R$133,3,FALSE)</f>
        <v>621235</v>
      </c>
      <c r="D27" s="195"/>
      <c r="E27" s="199" t="s">
        <v>39</v>
      </c>
      <c r="F27" s="166">
        <f>VLOOKUP($E27,Calculations!$P$13:$R$133,2,FALSE)</f>
        <v>350000</v>
      </c>
      <c r="G27" s="166">
        <f>VLOOKUP($E27,Calculations!$P$13:$R$133,3,FALSE)</f>
        <v>350000</v>
      </c>
      <c r="H27" s="195"/>
      <c r="I27" s="205" t="s">
        <v>144</v>
      </c>
      <c r="J27" s="167"/>
      <c r="K27" s="168">
        <f>VLOOKUP($I27,Calculations!$P$13:$R$133,3,FALSE)</f>
        <v>381605</v>
      </c>
    </row>
    <row r="28" spans="1:11" ht="18" customHeight="1">
      <c r="A28" s="206" t="s">
        <v>135</v>
      </c>
      <c r="B28" s="178"/>
      <c r="C28" s="170">
        <f>VLOOKUP($A28,Calculations!$P$13:$R$133,3,FALSE)</f>
        <v>435374</v>
      </c>
      <c r="D28" s="195"/>
      <c r="E28" s="197" t="s">
        <v>40</v>
      </c>
      <c r="F28" s="166">
        <f>VLOOKUP($E28,Calculations!$P$13:$R$133,2,FALSE)</f>
        <v>350000</v>
      </c>
      <c r="G28" s="166">
        <f>VLOOKUP($E28,Calculations!$P$13:$R$133,3,FALSE)</f>
        <v>350000</v>
      </c>
      <c r="H28" s="195"/>
      <c r="I28" s="204" t="s">
        <v>76</v>
      </c>
      <c r="J28" s="166">
        <f>VLOOKUP($I28,Calculations!$P$13:$R$133,2,FALSE)</f>
        <v>3156362</v>
      </c>
      <c r="K28" s="166">
        <f>VLOOKUP($I28,Calculations!$P$13:$R$133,3,FALSE)</f>
        <v>3156362</v>
      </c>
    </row>
    <row r="29" spans="1:11" ht="18" customHeight="1">
      <c r="A29" s="198" t="s">
        <v>465</v>
      </c>
      <c r="B29" s="167"/>
      <c r="C29" s="168">
        <f>VLOOKUP($A29,Calculations!$P$13:$R$133,3,FALSE)</f>
        <v>444285</v>
      </c>
      <c r="D29" s="195"/>
      <c r="E29" s="196" t="s">
        <v>41</v>
      </c>
      <c r="F29" s="165">
        <f>VLOOKUP($E29,Calculations!$P$13:$R$133,2,FALSE)</f>
        <v>2643632</v>
      </c>
      <c r="G29" s="165">
        <f>VLOOKUP($E29,Calculations!$P$13:$R$133,3,FALSE)</f>
        <v>2254754</v>
      </c>
      <c r="H29" s="195"/>
      <c r="I29" s="199" t="s">
        <v>77</v>
      </c>
      <c r="J29" s="166">
        <f>VLOOKUP($I29,Calculations!$P$13:$R$133,2,FALSE)</f>
        <v>937070</v>
      </c>
      <c r="K29" s="166">
        <f>VLOOKUP($I29,Calculations!$P$13:$R$133,3,FALSE)</f>
        <v>937070</v>
      </c>
    </row>
    <row r="30" spans="1:11" ht="18" customHeight="1">
      <c r="A30" s="197" t="s">
        <v>6</v>
      </c>
      <c r="B30" s="166">
        <f>VLOOKUP($A30,Calculations!$P$13:$R$133,2,FALSE)</f>
        <v>350000</v>
      </c>
      <c r="C30" s="166">
        <f>VLOOKUP($A30,Calculations!$P$13:$R$133,3,FALSE)</f>
        <v>350000</v>
      </c>
      <c r="D30" s="195"/>
      <c r="E30" s="198" t="s">
        <v>42</v>
      </c>
      <c r="F30" s="167"/>
      <c r="G30" s="168">
        <f>VLOOKUP($E30,Calculations!$P$13:$R$133,3,FALSE)</f>
        <v>388878</v>
      </c>
      <c r="H30" s="195"/>
      <c r="I30" s="199" t="s">
        <v>78</v>
      </c>
      <c r="J30" s="166">
        <f>VLOOKUP($I30,Calculations!$P$13:$R$133,2,FALSE)</f>
        <v>350000</v>
      </c>
      <c r="K30" s="166">
        <f>VLOOKUP($I30,Calculations!$P$13:$R$133,3,FALSE)</f>
        <v>350000</v>
      </c>
    </row>
    <row r="31" spans="1:11" ht="18" customHeight="1">
      <c r="A31" s="196" t="s">
        <v>7</v>
      </c>
      <c r="B31" s="165">
        <f>VLOOKUP($A31,Calculations!$P$13:$R$133,2,FALSE)</f>
        <v>1254120</v>
      </c>
      <c r="C31" s="165">
        <f>VLOOKUP($A31,Calculations!$P$13:$R$133,3,FALSE)</f>
        <v>1117923</v>
      </c>
      <c r="D31" s="195"/>
      <c r="E31" s="196" t="s">
        <v>43</v>
      </c>
      <c r="F31" s="165">
        <f>VLOOKUP($E31,Calculations!$P$13:$R$133,2,FALSE)</f>
        <v>2432247</v>
      </c>
      <c r="G31" s="165">
        <f>VLOOKUP($E31,Calculations!$P$13:$R$133,3,FALSE)</f>
        <v>2022413</v>
      </c>
      <c r="H31" s="195"/>
      <c r="I31" s="199" t="s">
        <v>79</v>
      </c>
      <c r="J31" s="166">
        <f>VLOOKUP($I31,Calculations!$P$13:$R$133,2,FALSE)</f>
        <v>350000</v>
      </c>
      <c r="K31" s="166">
        <f>VLOOKUP($I31,Calculations!$P$13:$R$133,3,FALSE)</f>
        <v>350000</v>
      </c>
    </row>
    <row r="32" spans="1:11" ht="18" customHeight="1">
      <c r="A32" s="198" t="s">
        <v>8</v>
      </c>
      <c r="B32" s="167"/>
      <c r="C32" s="168">
        <f>VLOOKUP($A32,Calculations!$P$13:$R$133,3,FALSE)</f>
        <v>136197</v>
      </c>
      <c r="D32" s="195"/>
      <c r="E32" s="198" t="s">
        <v>44</v>
      </c>
      <c r="F32" s="167"/>
      <c r="G32" s="168">
        <f>VLOOKUP($E32,Calculations!$P$13:$R$133,3,FALSE)</f>
        <v>409834</v>
      </c>
      <c r="H32" s="195"/>
      <c r="I32" s="199" t="s">
        <v>80</v>
      </c>
      <c r="J32" s="166">
        <f>VLOOKUP($I32,Calculations!$P$13:$R$133,2,FALSE)</f>
        <v>350000</v>
      </c>
      <c r="K32" s="166">
        <f>VLOOKUP($I32,Calculations!$P$13:$R$133,3,FALSE)</f>
        <v>350000</v>
      </c>
    </row>
    <row r="33" spans="1:11" ht="18" customHeight="1">
      <c r="A33" s="197" t="s">
        <v>9</v>
      </c>
      <c r="B33" s="166">
        <f>VLOOKUP($A33,Calculations!$P$13:$R$133,2,FALSE)</f>
        <v>999694</v>
      </c>
      <c r="C33" s="166">
        <f>VLOOKUP($A33,Calculations!$P$13:$R$133,3,FALSE)</f>
        <v>999694</v>
      </c>
      <c r="D33" s="195"/>
      <c r="E33" s="199" t="s">
        <v>45</v>
      </c>
      <c r="F33" s="166">
        <f>VLOOKUP($E33,Calculations!$P$13:$R$133,2,FALSE)</f>
        <v>1081899</v>
      </c>
      <c r="G33" s="166">
        <f>VLOOKUP($E33,Calculations!$P$13:$R$133,3,FALSE)</f>
        <v>1081899</v>
      </c>
      <c r="H33" s="195"/>
      <c r="I33" s="196" t="s">
        <v>81</v>
      </c>
      <c r="J33" s="165">
        <f>VLOOKUP($I33,Calculations!$P$13:$R$133,2,FALSE)</f>
        <v>3641700</v>
      </c>
      <c r="K33" s="165">
        <f>VLOOKUP($I33,Calculations!$P$13:$R$133,3,FALSE)</f>
        <v>2559751</v>
      </c>
    </row>
    <row r="34" spans="1:11" ht="18" customHeight="1">
      <c r="A34" s="197" t="s">
        <v>10</v>
      </c>
      <c r="B34" s="166">
        <f>VLOOKUP($A34,Calculations!$P$13:$R$133,2,FALSE)</f>
        <v>1461572</v>
      </c>
      <c r="C34" s="166">
        <f>VLOOKUP($A34,Calculations!$P$13:$R$133,3,FALSE)</f>
        <v>1461572</v>
      </c>
      <c r="D34" s="195"/>
      <c r="E34" s="196" t="s">
        <v>46</v>
      </c>
      <c r="F34" s="165">
        <f>VLOOKUP($E34,Calculations!$P$13:$R$133,2,FALSE)</f>
        <v>11842098</v>
      </c>
      <c r="G34" s="165">
        <f>VLOOKUP($E34,Calculations!$P$13:$R$133,3,FALSE)</f>
        <v>7613284</v>
      </c>
      <c r="H34" s="195"/>
      <c r="I34" s="200" t="s">
        <v>82</v>
      </c>
      <c r="J34" s="169"/>
      <c r="K34" s="170">
        <f>VLOOKUP($I34,Calculations!$P$13:$R$133,3,FALSE)</f>
        <v>463588</v>
      </c>
    </row>
    <row r="35" spans="1:11" ht="18" customHeight="1">
      <c r="A35" s="196" t="s">
        <v>136</v>
      </c>
      <c r="B35" s="165">
        <f>VLOOKUP($A35,Calculations!$P$13:$R$133,2,FALSE)</f>
        <v>2561427</v>
      </c>
      <c r="C35" s="165">
        <f>VLOOKUP($A35,Calculations!$P$13:$R$133,3,FALSE)</f>
        <v>2422085</v>
      </c>
      <c r="D35" s="195"/>
      <c r="E35" s="202" t="s">
        <v>47</v>
      </c>
      <c r="F35" s="169"/>
      <c r="G35" s="170">
        <f>VLOOKUP($E35,Calculations!$P$13:$R$133,3,FALSE)</f>
        <v>1003026</v>
      </c>
      <c r="H35" s="195"/>
      <c r="I35" s="198" t="s">
        <v>83</v>
      </c>
      <c r="J35" s="167"/>
      <c r="K35" s="168">
        <f>VLOOKUP($I35,Calculations!$P$13:$R$133,3,FALSE)</f>
        <v>618361</v>
      </c>
    </row>
    <row r="36" spans="1:11" ht="18" customHeight="1">
      <c r="A36" s="198" t="s">
        <v>137</v>
      </c>
      <c r="B36" s="167"/>
      <c r="C36" s="168">
        <f>VLOOKUP($A36,Calculations!$P$13:$R$133,3,FALSE)</f>
        <v>139342</v>
      </c>
      <c r="D36" s="195"/>
      <c r="E36" s="202" t="s">
        <v>48</v>
      </c>
      <c r="F36" s="169"/>
      <c r="G36" s="170">
        <f>VLOOKUP($E36,Calculations!$P$13:$R$133,3,FALSE)</f>
        <v>2081841</v>
      </c>
      <c r="H36" s="195"/>
      <c r="I36" s="199" t="s">
        <v>84</v>
      </c>
      <c r="J36" s="166">
        <f>VLOOKUP($I36,Calculations!$P$13:$R$133,2,FALSE)</f>
        <v>350000</v>
      </c>
      <c r="K36" s="166">
        <f>VLOOKUP($I36,Calculations!$P$13:$R$133,3,FALSE)</f>
        <v>350000</v>
      </c>
    </row>
    <row r="37" spans="1:11" ht="18" customHeight="1">
      <c r="A37" s="197" t="s">
        <v>11</v>
      </c>
      <c r="B37" s="166">
        <f>VLOOKUP($A37,Calculations!$P$13:$R$133,2,FALSE)</f>
        <v>479125</v>
      </c>
      <c r="C37" s="166">
        <f>VLOOKUP($A37,Calculations!$P$13:$R$133,3,FALSE)</f>
        <v>479125</v>
      </c>
      <c r="D37" s="195"/>
      <c r="E37" s="202" t="s">
        <v>49</v>
      </c>
      <c r="F37" s="169"/>
      <c r="G37" s="170">
        <f>VLOOKUP($E37,Calculations!$P$13:$R$133,3,FALSE)</f>
        <v>393158</v>
      </c>
      <c r="H37" s="195"/>
      <c r="I37" s="199" t="s">
        <v>85</v>
      </c>
      <c r="J37" s="166">
        <f>VLOOKUP($I37,Calculations!$P$13:$R$133,2,FALSE)</f>
        <v>510450</v>
      </c>
      <c r="K37" s="166">
        <f>VLOOKUP($I37,Calculations!$P$13:$R$133,3,FALSE)</f>
        <v>510450</v>
      </c>
    </row>
    <row r="38" spans="1:11" ht="18" customHeight="1">
      <c r="A38" s="197" t="s">
        <v>12</v>
      </c>
      <c r="B38" s="166">
        <f>VLOOKUP($A38,Calculations!$P$13:$R$133,2,FALSE)</f>
        <v>350000</v>
      </c>
      <c r="C38" s="166">
        <f>VLOOKUP($A38,Calculations!$P$13:$R$133,3,FALSE)</f>
        <v>350000</v>
      </c>
      <c r="D38" s="195"/>
      <c r="E38" s="202" t="s">
        <v>50</v>
      </c>
      <c r="F38" s="169"/>
      <c r="G38" s="170">
        <f>VLOOKUP($E38,Calculations!$P$13:$R$133,3,FALSE)</f>
        <v>478421</v>
      </c>
      <c r="H38" s="195"/>
      <c r="I38" s="199" t="s">
        <v>86</v>
      </c>
      <c r="J38" s="166">
        <f>VLOOKUP($I38,Calculations!$P$13:$R$133,2,FALSE)</f>
        <v>350000</v>
      </c>
      <c r="K38" s="166">
        <f>VLOOKUP($I38,Calculations!$P$13:$R$133,3,FALSE)</f>
        <v>350000</v>
      </c>
    </row>
    <row r="39" spans="1:11" ht="18" customHeight="1">
      <c r="A39" s="197" t="s">
        <v>13</v>
      </c>
      <c r="B39" s="166">
        <f>VLOOKUP($A39,Calculations!$P$13:$R$133,2,FALSE)</f>
        <v>350000</v>
      </c>
      <c r="C39" s="166">
        <f>VLOOKUP($A39,Calculations!$P$13:$R$133,3,FALSE)</f>
        <v>350000</v>
      </c>
      <c r="D39" s="195"/>
      <c r="E39" s="198" t="s">
        <v>51</v>
      </c>
      <c r="F39" s="167"/>
      <c r="G39" s="168">
        <f>VLOOKUP($E39,Calculations!$P$13:$R$133,3,FALSE)</f>
        <v>272368</v>
      </c>
      <c r="H39" s="195"/>
      <c r="I39" s="207" t="s">
        <v>164</v>
      </c>
      <c r="J39" s="173">
        <f>SUM(B3:B44)+SUM(F3:F44)+SUM(J3:J38)</f>
        <v>140769650</v>
      </c>
      <c r="K39" s="173">
        <f>SUM(C3:C44)+SUM(G3:G44)+SUM(K3:K38)</f>
        <v>140769650</v>
      </c>
    </row>
    <row r="40" spans="1:11" ht="18" customHeight="1">
      <c r="A40" s="197" t="s">
        <v>14</v>
      </c>
      <c r="B40" s="166">
        <f>VLOOKUP($A40,Calculations!$P$13:$R$133,2,FALSE)</f>
        <v>6487253</v>
      </c>
      <c r="C40" s="166">
        <f>VLOOKUP($A40,Calculations!$P$13:$R$133,3,FALSE)</f>
        <v>6487253</v>
      </c>
      <c r="D40" s="195"/>
      <c r="E40" s="199" t="s">
        <v>52</v>
      </c>
      <c r="F40" s="166">
        <f>VLOOKUP($E40,Calculations!$P$13:$R$133,2,FALSE)</f>
        <v>526099</v>
      </c>
      <c r="G40" s="166">
        <f>VLOOKUP($E40,Calculations!$P$13:$R$133,3,FALSE)</f>
        <v>526099</v>
      </c>
      <c r="H40" s="195"/>
      <c r="I40" s="208" t="s">
        <v>616</v>
      </c>
      <c r="J40" s="172"/>
      <c r="K40" s="171">
        <f>-Calculations!I3</f>
        <v>5000000</v>
      </c>
    </row>
    <row r="41" spans="1:11" ht="18" customHeight="1">
      <c r="A41" s="196" t="s">
        <v>15</v>
      </c>
      <c r="B41" s="165">
        <f>VLOOKUP($A41,Calculations!$P$13:$R$133,2,FALSE)</f>
        <v>2146523</v>
      </c>
      <c r="C41" s="165">
        <f>VLOOKUP($A41,Calculations!$P$13:$R$133,3,FALSE)</f>
        <v>1778609</v>
      </c>
      <c r="D41" s="195"/>
      <c r="E41" s="199" t="s">
        <v>53</v>
      </c>
      <c r="F41" s="166">
        <f>VLOOKUP($E41,Calculations!$P$13:$R$133,2,FALSE)</f>
        <v>604372</v>
      </c>
      <c r="G41" s="166">
        <f>VLOOKUP($E41,Calculations!$P$13:$R$133,3,FALSE)</f>
        <v>604372</v>
      </c>
      <c r="H41" s="195"/>
      <c r="I41" s="208" t="s">
        <v>617</v>
      </c>
      <c r="J41" s="172"/>
      <c r="K41" s="171">
        <f>-Calculations!I4</f>
        <v>366750</v>
      </c>
    </row>
    <row r="42" spans="1:11" ht="18" customHeight="1">
      <c r="A42" s="198" t="s">
        <v>138</v>
      </c>
      <c r="B42" s="167"/>
      <c r="C42" s="168">
        <f>VLOOKUP($A42,Calculations!$P$13:$R$133,3,FALSE)</f>
        <v>367914</v>
      </c>
      <c r="D42" s="195"/>
      <c r="E42" s="196" t="s">
        <v>54</v>
      </c>
      <c r="F42" s="165">
        <f>VLOOKUP($E42,Calculations!$P$13:$R$133,2,FALSE)</f>
        <v>1355879</v>
      </c>
      <c r="G42" s="165">
        <f>VLOOKUP($E42,Calculations!$P$13:$R$133,3,FALSE)</f>
        <v>1215817</v>
      </c>
      <c r="H42" s="195"/>
      <c r="I42" s="208" t="s">
        <v>622</v>
      </c>
      <c r="J42" s="172"/>
      <c r="K42" s="171">
        <f>-Calculations!I5</f>
        <v>563600</v>
      </c>
    </row>
    <row r="43" spans="1:11" ht="18" customHeight="1">
      <c r="A43" s="196" t="s">
        <v>16</v>
      </c>
      <c r="B43" s="165">
        <f>VLOOKUP($A43,Calculations!$P$13:$R$133,2,FALSE)</f>
        <v>764849</v>
      </c>
      <c r="C43" s="165">
        <f>VLOOKUP($A43,Calculations!$P$13:$R$133,3,FALSE)</f>
        <v>165743</v>
      </c>
      <c r="D43" s="195"/>
      <c r="E43" s="205" t="s">
        <v>605</v>
      </c>
      <c r="F43" s="167"/>
      <c r="G43" s="168">
        <f>VLOOKUP($E43,Calculations!$P$13:$R$133,3,FALSE)</f>
        <v>140062</v>
      </c>
      <c r="H43" s="195"/>
      <c r="I43" s="209" t="s">
        <v>618</v>
      </c>
      <c r="J43" s="174"/>
      <c r="K43" s="175">
        <f>SUM(K39:K42)</f>
        <v>146700000</v>
      </c>
    </row>
    <row r="44" spans="1:11" ht="18" customHeight="1">
      <c r="A44" s="198" t="s">
        <v>139</v>
      </c>
      <c r="B44" s="167"/>
      <c r="C44" s="168">
        <f>VLOOKUP($A44,Calculations!$P$13:$R$133,3,FALSE)</f>
        <v>599106</v>
      </c>
      <c r="D44" s="195"/>
      <c r="E44" s="199" t="s">
        <v>55</v>
      </c>
      <c r="F44" s="166">
        <f>VLOOKUP($E44,Calculations!$P$13:$R$133,2,FALSE)</f>
        <v>350000</v>
      </c>
      <c r="G44" s="166">
        <f>VLOOKUP($E44,Calculations!$P$13:$R$133,3,FALSE)</f>
        <v>350000</v>
      </c>
      <c r="H44" s="195"/>
    </row>
    <row r="45" spans="1:11" ht="25.15" customHeight="1">
      <c r="A45" s="210"/>
      <c r="B45" s="195"/>
      <c r="C45" s="195"/>
      <c r="D45" s="195"/>
    </row>
    <row r="46" spans="1:11" ht="25.15" customHeight="1"/>
    <row r="47" spans="1:11" ht="25.15" customHeight="1"/>
    <row r="48" spans="1:11" ht="25.15" customHeight="1"/>
    <row r="49" ht="25.15" customHeight="1"/>
    <row r="50" ht="25.15" customHeight="1"/>
    <row r="51" ht="25.15" customHeight="1"/>
    <row r="52" ht="25.15" customHeight="1"/>
    <row r="53" ht="25.15" customHeight="1"/>
    <row r="54" ht="25.15" customHeight="1"/>
    <row r="55" ht="25.15" customHeight="1"/>
    <row r="56" ht="25.15" customHeight="1"/>
    <row r="57" ht="25.15" customHeight="1"/>
    <row r="58" ht="25.15" customHeight="1"/>
    <row r="59" ht="25.15" customHeight="1"/>
    <row r="60" ht="25.15" customHeight="1"/>
    <row r="61" ht="25.15" customHeight="1"/>
    <row r="62" ht="25.15" customHeight="1"/>
    <row r="63" ht="25.15" customHeight="1"/>
    <row r="64" ht="25.15" customHeight="1"/>
    <row r="65" ht="25.15" customHeight="1"/>
    <row r="66" ht="25.15" customHeight="1"/>
    <row r="67" ht="25.15" customHeight="1"/>
    <row r="68" ht="25.15" customHeight="1"/>
    <row r="69" ht="25.15" customHeight="1"/>
    <row r="70" ht="25.15" customHeight="1"/>
    <row r="71" ht="25.15" customHeight="1"/>
    <row r="72" ht="25.15" customHeight="1"/>
    <row r="73" ht="25.15" customHeight="1"/>
    <row r="74" ht="25.15" customHeight="1"/>
    <row r="75" ht="25.15" customHeight="1"/>
    <row r="76" ht="25.15" customHeight="1"/>
    <row r="77" ht="25.15" customHeight="1"/>
    <row r="78" ht="25.15" customHeight="1"/>
    <row r="79" ht="25.15" customHeight="1"/>
    <row r="80" ht="25.15" customHeight="1"/>
    <row r="81" spans="9:11" ht="25.15" customHeight="1"/>
    <row r="82" spans="9:11" ht="25.15" customHeight="1"/>
    <row r="83" spans="9:11" ht="25.15" customHeight="1"/>
    <row r="84" spans="9:11" ht="25.15" customHeight="1">
      <c r="I84" s="211"/>
      <c r="J84" s="211"/>
      <c r="K84" s="211"/>
    </row>
    <row r="85" spans="9:11" ht="25.15" customHeight="1"/>
    <row r="86" spans="9:11" ht="25.15" customHeight="1"/>
    <row r="87" spans="9:11" ht="25.15" customHeight="1"/>
    <row r="88" spans="9:11" ht="25.15" customHeight="1"/>
    <row r="89" spans="9:11" ht="25.15" customHeight="1"/>
    <row r="90" spans="9:11" ht="25.15" customHeight="1"/>
    <row r="91" spans="9:11" ht="25.15" customHeight="1"/>
    <row r="92" spans="9:11" ht="25.15" customHeight="1"/>
    <row r="93" spans="9:11" ht="25.15" customHeight="1"/>
    <row r="94" spans="9:11" ht="25.15" customHeight="1"/>
    <row r="95" spans="9:11" ht="25.15" customHeight="1"/>
    <row r="96" spans="9:11" ht="25.15" customHeight="1"/>
    <row r="97" ht="25.15" customHeight="1"/>
    <row r="98" ht="25.15" customHeight="1"/>
    <row r="99" ht="25.15" customHeight="1"/>
    <row r="100" ht="25.15" customHeight="1"/>
    <row r="101" ht="25.15" customHeight="1"/>
    <row r="102" ht="25.15" customHeight="1"/>
    <row r="103" ht="25.15" customHeight="1"/>
    <row r="104" ht="25.15" customHeight="1"/>
    <row r="105" ht="25.15" customHeight="1"/>
    <row r="106" ht="25.15" customHeight="1"/>
    <row r="107" ht="25.15" customHeight="1"/>
    <row r="108" ht="25.15" customHeight="1"/>
    <row r="109" ht="25.15" customHeight="1"/>
    <row r="110" ht="25.15" customHeight="1"/>
    <row r="111" ht="25.15" customHeight="1"/>
    <row r="112" ht="25.15" customHeight="1"/>
    <row r="113" ht="25.15" customHeight="1"/>
    <row r="114" ht="25.15" customHeight="1"/>
    <row r="115" ht="25.15" customHeight="1"/>
    <row r="116" ht="25.15" customHeight="1"/>
    <row r="117" ht="25.15" customHeight="1"/>
    <row r="118" ht="25.15" customHeight="1"/>
    <row r="119" ht="25.15" customHeight="1"/>
    <row r="120" ht="25.15" customHeight="1"/>
    <row r="121" ht="25.15" customHeight="1"/>
    <row r="122" ht="25.15" customHeight="1"/>
    <row r="123" ht="25.15" customHeight="1"/>
    <row r="124" ht="25.15" customHeight="1"/>
    <row r="125" ht="25.15" customHeight="1"/>
    <row r="126" ht="25.15" customHeight="1"/>
    <row r="127" ht="25.15" customHeight="1"/>
    <row r="128" ht="25.15" customHeight="1"/>
    <row r="129" ht="25.15" customHeight="1"/>
    <row r="130" ht="25.15" customHeight="1"/>
    <row r="131" ht="25.15" customHeight="1"/>
    <row r="132" ht="25.15" customHeight="1"/>
    <row r="133" ht="25.15" customHeight="1"/>
    <row r="134" ht="25.15" customHeight="1"/>
    <row r="135" ht="25.15" customHeight="1"/>
    <row r="136" ht="25.15" customHeight="1"/>
    <row r="137" ht="25.15" customHeight="1"/>
    <row r="138" ht="25.15" customHeight="1"/>
    <row r="139" ht="25.15" customHeight="1"/>
    <row r="140" ht="25.15" customHeight="1"/>
    <row r="141" ht="25.15" customHeight="1"/>
    <row r="142" ht="25.15" customHeight="1"/>
    <row r="143" ht="25.15" customHeight="1"/>
    <row r="144" ht="25.15" customHeight="1"/>
    <row r="145" ht="25.15" customHeight="1"/>
    <row r="146" ht="25.15" customHeight="1"/>
    <row r="147" ht="25.15" customHeight="1"/>
    <row r="148" ht="25.15" customHeight="1"/>
    <row r="149" ht="25.15" customHeight="1"/>
    <row r="150" ht="25.15" customHeight="1"/>
    <row r="151" ht="25.15" customHeight="1"/>
    <row r="152" ht="25.15" customHeight="1"/>
    <row r="153" ht="25.15" customHeight="1"/>
    <row r="154" ht="25.15" customHeight="1"/>
    <row r="155" ht="25.15" customHeight="1"/>
    <row r="156" ht="25.15" customHeight="1"/>
    <row r="157" ht="25.15" customHeight="1"/>
    <row r="158" ht="25.15" customHeight="1"/>
    <row r="159" ht="25.15" customHeight="1"/>
    <row r="160" ht="25.15" customHeight="1"/>
    <row r="161" ht="25.15" customHeight="1"/>
    <row r="162" ht="25.15" customHeight="1"/>
    <row r="163" ht="25.15" customHeight="1"/>
    <row r="164" ht="25.15" customHeight="1"/>
  </sheetData>
  <autoFilter ref="A2:D129" xr:uid="{00000000-0009-0000-0000-000000000000}"/>
  <mergeCells count="1">
    <mergeCell ref="C1:D1"/>
  </mergeCells>
  <printOptions horizontalCentered="1"/>
  <pageMargins left="0.5" right="0.5" top="0.5" bottom="0.25" header="0.25" footer="0"/>
  <pageSetup scale="70" fitToHeight="0" orientation="landscape" r:id="rId1"/>
  <headerFooter>
    <oddFooter>&amp;R&amp;"Futura Lt BT,Light"&amp;D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pageSetUpPr autoPageBreaks="0" fitToPage="1"/>
  </sheetPr>
  <dimension ref="A1:AR167"/>
  <sheetViews>
    <sheetView defaultGridColor="0" colorId="22" zoomScaleNormal="100" workbookViewId="0"/>
  </sheetViews>
  <sheetFormatPr defaultColWidth="9.5703125" defaultRowHeight="12.75"/>
  <cols>
    <col min="1" max="1" width="21.7109375" style="3" customWidth="1"/>
    <col min="2" max="2" width="16" style="3" customWidth="1"/>
    <col min="3" max="3" width="15.5703125" style="7" customWidth="1"/>
    <col min="4" max="4" width="12.7109375" style="7" customWidth="1"/>
    <col min="5" max="5" width="12.7109375" style="3" customWidth="1"/>
    <col min="6" max="6" width="15.28515625" style="3" customWidth="1"/>
    <col min="7" max="7" width="15.7109375" style="6" customWidth="1"/>
    <col min="8" max="8" width="13.28515625" style="7" customWidth="1"/>
    <col min="9" max="9" width="14.7109375" style="7" bestFit="1" customWidth="1"/>
    <col min="10" max="10" width="15.7109375" style="6" customWidth="1"/>
    <col min="11" max="11" width="13.85546875" style="7" bestFit="1" customWidth="1"/>
    <col min="12" max="12" width="10.85546875" style="7" customWidth="1"/>
    <col min="13" max="13" width="1.5703125" style="3" customWidth="1"/>
    <col min="14" max="14" width="14.42578125" style="3" bestFit="1" customWidth="1"/>
    <col min="15" max="15" width="1.5703125" style="3" customWidth="1"/>
    <col min="16" max="16" width="23.5703125" style="3" customWidth="1"/>
    <col min="17" max="18" width="24.140625" style="3" customWidth="1"/>
    <col min="19" max="19" width="3" style="122" customWidth="1"/>
    <col min="20" max="22" width="9.5703125" style="3"/>
    <col min="23" max="23" width="20" style="3" bestFit="1" customWidth="1"/>
    <col min="24" max="27" width="9.5703125" style="3"/>
    <col min="28" max="28" width="11.140625" style="3" customWidth="1"/>
    <col min="29" max="29" width="1.28515625" style="3" customWidth="1"/>
    <col min="30" max="30" width="12.42578125" style="3" bestFit="1" customWidth="1"/>
    <col min="31" max="16384" width="9.5703125" style="3"/>
  </cols>
  <sheetData>
    <row r="1" spans="1:30">
      <c r="A1" s="1">
        <v>1</v>
      </c>
      <c r="B1" s="2">
        <v>2</v>
      </c>
      <c r="C1" s="2">
        <v>3</v>
      </c>
      <c r="D1" s="2">
        <v>4</v>
      </c>
      <c r="E1" s="2">
        <v>5</v>
      </c>
      <c r="F1" s="2">
        <v>6</v>
      </c>
      <c r="G1" s="2">
        <v>7</v>
      </c>
      <c r="H1" s="2">
        <v>8</v>
      </c>
      <c r="I1" s="2">
        <v>9</v>
      </c>
      <c r="J1" s="2">
        <v>10</v>
      </c>
      <c r="K1" s="2">
        <v>11</v>
      </c>
      <c r="L1" s="1">
        <v>12</v>
      </c>
      <c r="M1" s="2">
        <v>13</v>
      </c>
      <c r="N1" s="2">
        <v>14</v>
      </c>
      <c r="O1" s="1">
        <v>15</v>
      </c>
      <c r="P1" s="2">
        <v>16</v>
      </c>
      <c r="Q1" s="2">
        <v>17</v>
      </c>
      <c r="R1" s="1">
        <v>18</v>
      </c>
      <c r="S1" s="2">
        <v>19</v>
      </c>
    </row>
    <row r="2" spans="1:30">
      <c r="B2" s="4" t="s">
        <v>93</v>
      </c>
      <c r="C2" s="5"/>
      <c r="D2" s="5"/>
      <c r="E2" s="4"/>
      <c r="F2" s="4"/>
      <c r="G2" s="13" t="s">
        <v>639</v>
      </c>
      <c r="I2" s="8">
        <v>146700000</v>
      </c>
      <c r="K2" s="9" t="s">
        <v>94</v>
      </c>
      <c r="L2" s="3"/>
      <c r="M2" s="10"/>
      <c r="N2" s="11"/>
      <c r="O2" s="10"/>
      <c r="S2" s="12"/>
    </row>
    <row r="3" spans="1:30">
      <c r="B3" s="4"/>
      <c r="C3" s="5"/>
      <c r="D3" s="5"/>
      <c r="E3" s="4"/>
      <c r="F3" s="4"/>
      <c r="G3" s="13" t="s">
        <v>615</v>
      </c>
      <c r="I3" s="14">
        <f>-5000000</f>
        <v>-5000000</v>
      </c>
      <c r="K3" s="9"/>
      <c r="L3" s="3"/>
      <c r="M3" s="10"/>
      <c r="N3" s="11"/>
      <c r="O3" s="10"/>
      <c r="S3" s="12"/>
    </row>
    <row r="4" spans="1:30">
      <c r="A4" s="151" t="s">
        <v>160</v>
      </c>
      <c r="B4" s="152" t="s">
        <v>161</v>
      </c>
      <c r="C4" s="153"/>
      <c r="D4" s="153"/>
      <c r="E4" s="152"/>
      <c r="F4" s="154"/>
      <c r="G4" s="176" t="s">
        <v>619</v>
      </c>
      <c r="H4" s="3"/>
      <c r="I4" s="8">
        <f>-ROUND(I2*0.0025,0)</f>
        <v>-366750</v>
      </c>
      <c r="K4" s="15">
        <v>350000</v>
      </c>
      <c r="M4" s="10"/>
      <c r="N4" s="11"/>
      <c r="O4" s="10"/>
      <c r="S4" s="12"/>
    </row>
    <row r="5" spans="1:30" ht="15" customHeight="1" thickBot="1">
      <c r="A5" s="155"/>
      <c r="B5" s="156" t="s">
        <v>162</v>
      </c>
      <c r="C5" s="157"/>
      <c r="D5" s="157"/>
      <c r="E5" s="156"/>
      <c r="F5" s="158"/>
      <c r="G5" s="13" t="s">
        <v>638</v>
      </c>
      <c r="I5" s="14">
        <v>-563600</v>
      </c>
      <c r="M5" s="10"/>
      <c r="N5" s="11"/>
      <c r="O5" s="10"/>
      <c r="S5" s="12"/>
    </row>
    <row r="6" spans="1:30" ht="18">
      <c r="A6" s="159"/>
      <c r="B6" s="160" t="s">
        <v>163</v>
      </c>
      <c r="C6" s="161"/>
      <c r="D6" s="161"/>
      <c r="E6" s="160"/>
      <c r="F6" s="162"/>
      <c r="G6" s="17" t="s">
        <v>95</v>
      </c>
      <c r="H6" s="18"/>
      <c r="I6" s="19">
        <f>SUM(I2:I5)</f>
        <v>140769650</v>
      </c>
      <c r="J6" s="19">
        <f>I6-G12-J12</f>
        <v>0</v>
      </c>
      <c r="K6" s="177"/>
      <c r="M6" s="10"/>
      <c r="N6" s="11"/>
      <c r="O6" s="10"/>
      <c r="P6" s="267" t="s">
        <v>96</v>
      </c>
      <c r="Q6" s="268"/>
      <c r="R6" s="269"/>
      <c r="S6" s="12"/>
    </row>
    <row r="7" spans="1:30" ht="15" customHeight="1">
      <c r="B7" s="16" t="s">
        <v>97</v>
      </c>
      <c r="F7" s="6"/>
      <c r="G7" s="17"/>
      <c r="H7" s="18"/>
      <c r="I7" s="19"/>
      <c r="J7" s="14"/>
      <c r="M7" s="10"/>
      <c r="N7" s="11"/>
      <c r="O7" s="10"/>
      <c r="P7" s="270" t="s">
        <v>621</v>
      </c>
      <c r="Q7" s="271"/>
      <c r="R7" s="272"/>
      <c r="S7" s="12"/>
    </row>
    <row r="8" spans="1:30" ht="15.6" customHeight="1">
      <c r="A8" s="20"/>
      <c r="B8" s="150" t="s">
        <v>620</v>
      </c>
      <c r="C8" s="21" t="s">
        <v>98</v>
      </c>
      <c r="D8" s="21" t="s">
        <v>98</v>
      </c>
      <c r="E8" s="6"/>
      <c r="F8" s="22" t="s">
        <v>99</v>
      </c>
      <c r="G8" s="23"/>
      <c r="H8" s="24"/>
      <c r="I8" s="25"/>
      <c r="J8" s="26"/>
      <c r="K8" s="24"/>
      <c r="L8" s="27"/>
      <c r="M8" s="10"/>
      <c r="N8" s="11"/>
      <c r="O8" s="10"/>
      <c r="P8" s="273"/>
      <c r="Q8" s="271"/>
      <c r="R8" s="272"/>
      <c r="S8" s="12"/>
    </row>
    <row r="9" spans="1:30" ht="15.75" thickBot="1">
      <c r="A9" s="22" t="s">
        <v>100</v>
      </c>
      <c r="B9" s="22" t="s">
        <v>98</v>
      </c>
      <c r="C9" s="21" t="s">
        <v>101</v>
      </c>
      <c r="D9" s="21" t="s">
        <v>101</v>
      </c>
      <c r="E9" s="28" t="s">
        <v>100</v>
      </c>
      <c r="F9" s="22" t="s">
        <v>102</v>
      </c>
      <c r="G9" s="29" t="s">
        <v>103</v>
      </c>
      <c r="H9" s="30">
        <f>AD13</f>
        <v>0.33189999999999997</v>
      </c>
      <c r="I9" s="30"/>
      <c r="J9" s="31" t="s">
        <v>104</v>
      </c>
      <c r="K9" s="32">
        <f>AD14</f>
        <v>0.66810000000000003</v>
      </c>
      <c r="L9" s="33"/>
      <c r="M9" s="10"/>
      <c r="N9" s="11"/>
      <c r="O9" s="10"/>
      <c r="P9" s="274"/>
      <c r="Q9" s="275"/>
      <c r="R9" s="276"/>
      <c r="S9" s="12"/>
    </row>
    <row r="10" spans="1:30" ht="15.6" customHeight="1">
      <c r="A10" s="20"/>
      <c r="B10" s="22" t="s">
        <v>101</v>
      </c>
      <c r="C10" s="21" t="s">
        <v>105</v>
      </c>
      <c r="D10" s="21" t="s">
        <v>105</v>
      </c>
      <c r="E10" s="28" t="s">
        <v>101</v>
      </c>
      <c r="F10" s="22" t="s">
        <v>106</v>
      </c>
      <c r="G10" s="34"/>
      <c r="H10" s="22" t="s">
        <v>107</v>
      </c>
      <c r="I10" s="21" t="s">
        <v>108</v>
      </c>
      <c r="J10" s="35"/>
      <c r="K10" s="22" t="s">
        <v>107</v>
      </c>
      <c r="L10" s="36" t="s">
        <v>108</v>
      </c>
      <c r="M10" s="37"/>
      <c r="N10" s="38"/>
      <c r="O10" s="39"/>
      <c r="P10" s="277" t="s">
        <v>109</v>
      </c>
      <c r="Q10" s="280" t="s">
        <v>110</v>
      </c>
      <c r="R10" s="283" t="s">
        <v>111</v>
      </c>
      <c r="S10" s="12"/>
      <c r="W10" s="16" t="s">
        <v>112</v>
      </c>
      <c r="Z10" s="176" t="s">
        <v>522</v>
      </c>
    </row>
    <row r="11" spans="1:30">
      <c r="A11" s="20"/>
      <c r="B11" s="20"/>
      <c r="C11" s="21" t="s">
        <v>113</v>
      </c>
      <c r="D11" s="21" t="s">
        <v>114</v>
      </c>
      <c r="E11" s="6"/>
      <c r="F11" s="20"/>
      <c r="G11" s="40"/>
      <c r="H11" s="28">
        <f>ROUND(K4*H9,0)</f>
        <v>116165</v>
      </c>
      <c r="I11" s="22" t="s">
        <v>115</v>
      </c>
      <c r="J11" s="41"/>
      <c r="K11" s="28">
        <f>ROUND(K4*K9,0)</f>
        <v>233835</v>
      </c>
      <c r="L11" s="36" t="s">
        <v>116</v>
      </c>
      <c r="M11" s="10"/>
      <c r="N11" s="11"/>
      <c r="O11" s="10"/>
      <c r="P11" s="278"/>
      <c r="Q11" s="281"/>
      <c r="R11" s="284"/>
      <c r="S11" s="12"/>
    </row>
    <row r="12" spans="1:30" ht="15.6" customHeight="1" thickBot="1">
      <c r="A12" s="20"/>
      <c r="B12" s="20"/>
      <c r="E12" s="6"/>
      <c r="F12" s="20"/>
      <c r="G12" s="42">
        <f>ROUND(I6*H9,0)</f>
        <v>46721447</v>
      </c>
      <c r="H12" s="43"/>
      <c r="I12" s="25"/>
      <c r="J12" s="44">
        <f>ROUND(I6*K9,0)</f>
        <v>94048203</v>
      </c>
      <c r="K12" s="45"/>
      <c r="L12" s="46"/>
      <c r="M12" s="10"/>
      <c r="N12" s="11" t="s">
        <v>117</v>
      </c>
      <c r="O12" s="10"/>
      <c r="P12" s="279"/>
      <c r="Q12" s="282"/>
      <c r="R12" s="285"/>
      <c r="S12" s="12"/>
      <c r="W12" s="47"/>
      <c r="X12" s="48" t="s">
        <v>118</v>
      </c>
      <c r="Y12" s="48"/>
      <c r="Z12" s="48"/>
      <c r="AA12" s="48"/>
      <c r="AB12" s="48"/>
      <c r="AC12" s="49"/>
      <c r="AD12" s="50"/>
    </row>
    <row r="13" spans="1:30" ht="19.899999999999999" customHeight="1">
      <c r="A13" s="24" t="s">
        <v>0</v>
      </c>
      <c r="B13" s="51">
        <f>VLOOKUP(A13,Population_2020,2)</f>
        <v>271588</v>
      </c>
      <c r="C13" s="25">
        <f>ROUND(B13/$B$137,4)</f>
        <v>1.4500000000000001E-2</v>
      </c>
      <c r="D13" s="25">
        <f>ROUND(B13/$B$136,4)</f>
        <v>1.26E-2</v>
      </c>
      <c r="E13" s="51"/>
      <c r="F13" s="25">
        <f>ROUND((B13-E14)/B13,4)</f>
        <v>0.50260000000000005</v>
      </c>
      <c r="G13" s="52">
        <f>ROUND($G$12*C13,0)</f>
        <v>677461</v>
      </c>
      <c r="H13" s="43">
        <f>IF(G13&gt;H$11,(G13-H$11),0)</f>
        <v>561296</v>
      </c>
      <c r="I13" s="25">
        <f>IF(H13&gt;0,ROUND(H13/$H$136,4),0)</f>
        <v>1.3899999999999999E-2</v>
      </c>
      <c r="J13" s="53">
        <f>ROUND($J$12*D13,0)</f>
        <v>1185007</v>
      </c>
      <c r="K13" s="43">
        <f>IF(J13&gt;K$11,(J13-K$11),0)</f>
        <v>951172</v>
      </c>
      <c r="L13" s="25">
        <f>IF(K13&gt;0,ROUND(K13/$K$136,4),0)</f>
        <v>1.17E-2</v>
      </c>
      <c r="M13" s="37"/>
      <c r="N13" s="54" t="s">
        <v>0</v>
      </c>
      <c r="O13" s="37"/>
      <c r="P13" s="55" t="s">
        <v>0</v>
      </c>
      <c r="Q13" s="56">
        <f>ROUND((I13*$Q$153)+(L13*$Q$159)+$K$4,0)</f>
        <v>1809919</v>
      </c>
      <c r="R13" s="56">
        <f>ROUND(Q13-R14,0)</f>
        <v>909665</v>
      </c>
      <c r="S13" s="57"/>
      <c r="T13" s="8"/>
      <c r="W13" s="58" t="s">
        <v>520</v>
      </c>
      <c r="X13" s="59">
        <v>0.1124</v>
      </c>
      <c r="Y13" s="60" t="s">
        <v>119</v>
      </c>
      <c r="Z13" s="61">
        <v>0.5</v>
      </c>
      <c r="AA13" s="60" t="s">
        <v>120</v>
      </c>
      <c r="AB13" s="260">
        <f>X13*Z13</f>
        <v>5.62E-2</v>
      </c>
      <c r="AC13" s="49"/>
      <c r="AD13" s="62">
        <f>ROUND(AB13/AB16,4)</f>
        <v>0.33189999999999997</v>
      </c>
    </row>
    <row r="14" spans="1:30" ht="19.899999999999999" customHeight="1">
      <c r="A14" s="63" t="s">
        <v>121</v>
      </c>
      <c r="B14" s="64"/>
      <c r="E14" s="64">
        <f>VLOOKUP($A14,Population_2020,2,FALSE)</f>
        <v>135097</v>
      </c>
      <c r="F14" s="65">
        <f>ROUND(E14/B13,4)</f>
        <v>0.49740000000000001</v>
      </c>
      <c r="G14" s="66"/>
      <c r="H14" s="14"/>
      <c r="J14" s="67"/>
      <c r="K14" s="14"/>
      <c r="M14" s="10"/>
      <c r="N14" s="68" t="s">
        <v>0</v>
      </c>
      <c r="O14" s="10"/>
      <c r="P14" s="69" t="s">
        <v>121</v>
      </c>
      <c r="Q14" s="56"/>
      <c r="R14" s="56">
        <f>ROUND(Q13*F14,0)</f>
        <v>900254</v>
      </c>
      <c r="S14" s="12"/>
      <c r="T14" s="8"/>
      <c r="W14" s="58" t="s">
        <v>521</v>
      </c>
      <c r="X14" s="59">
        <v>0.1293</v>
      </c>
      <c r="Y14" s="60" t="s">
        <v>119</v>
      </c>
      <c r="Z14" s="61">
        <v>0.875</v>
      </c>
      <c r="AA14" s="60" t="s">
        <v>120</v>
      </c>
      <c r="AB14" s="261">
        <f>X14*Z14</f>
        <v>0.1131375</v>
      </c>
      <c r="AC14" s="49"/>
      <c r="AD14" s="62">
        <f>ROUND(AB14/AB16,4)</f>
        <v>0.66810000000000003</v>
      </c>
    </row>
    <row r="15" spans="1:30" ht="19.899999999999999" customHeight="1">
      <c r="A15" s="24" t="s">
        <v>1</v>
      </c>
      <c r="B15" s="51">
        <f>VLOOKUP(A15,Population_2020,2)</f>
        <v>28532</v>
      </c>
      <c r="C15" s="25">
        <f>ROUND(B15/$B$137,4)</f>
        <v>1.5E-3</v>
      </c>
      <c r="D15" s="25">
        <f>ROUND(B15/$B$136,4)</f>
        <v>1.2999999999999999E-3</v>
      </c>
      <c r="E15" s="51"/>
      <c r="F15" s="70">
        <v>1</v>
      </c>
      <c r="G15" s="52">
        <f>ROUND($G$12*C15,0)</f>
        <v>70082</v>
      </c>
      <c r="H15" s="43">
        <f>IF(G15&gt;H$11,(G15-H$11),0)</f>
        <v>0</v>
      </c>
      <c r="I15" s="25">
        <f>IF(H15&gt;0,ROUND(H15/$H$136,4),0)</f>
        <v>0</v>
      </c>
      <c r="J15" s="53">
        <f>ROUND($J$12*D15,0)</f>
        <v>122263</v>
      </c>
      <c r="K15" s="43">
        <f>IF(J15&gt;K$11,(J15-K$11),0)</f>
        <v>0</v>
      </c>
      <c r="L15" s="25">
        <f>IF(K15&gt;0,ROUND(K15/$K$136,4),0)</f>
        <v>0</v>
      </c>
      <c r="M15" s="37"/>
      <c r="N15" s="68" t="s">
        <v>1</v>
      </c>
      <c r="O15" s="37"/>
      <c r="P15" s="71" t="s">
        <v>1</v>
      </c>
      <c r="Q15" s="72">
        <f>ROUND((I15*$Q$153)+(L15*$Q$159)+$K$4,0)</f>
        <v>350000</v>
      </c>
      <c r="R15" s="72">
        <f>ROUND(Q15,0)</f>
        <v>350000</v>
      </c>
      <c r="S15" s="57"/>
      <c r="T15" s="8"/>
      <c r="W15" s="47"/>
      <c r="X15" s="73"/>
      <c r="Y15" s="73"/>
      <c r="Z15" s="73"/>
      <c r="AA15" s="73"/>
      <c r="AB15" s="260"/>
      <c r="AC15" s="49"/>
      <c r="AD15" s="50"/>
    </row>
    <row r="16" spans="1:30" ht="19.899999999999999" customHeight="1" thickBot="1">
      <c r="A16" s="24" t="s">
        <v>2</v>
      </c>
      <c r="B16" s="51">
        <f>VLOOKUP(A16,Population_2020,2)</f>
        <v>174410</v>
      </c>
      <c r="C16" s="25">
        <f>ROUND(B16/$B$137,4)</f>
        <v>9.2999999999999992E-3</v>
      </c>
      <c r="D16" s="25">
        <f>ROUND(B16/$B$136,4)</f>
        <v>8.0999999999999996E-3</v>
      </c>
      <c r="E16" s="51"/>
      <c r="F16" s="70">
        <f>ROUND((B16-E17)/B16,4)</f>
        <v>0.80210000000000004</v>
      </c>
      <c r="G16" s="52">
        <f>ROUND($G$12*C16,0)</f>
        <v>434509</v>
      </c>
      <c r="H16" s="43">
        <f>IF(G16&gt;H$11,(G16-H$11),0)</f>
        <v>318344</v>
      </c>
      <c r="I16" s="25">
        <f>IF(H16&gt;0,ROUND(H16/$H$136,4),0)</f>
        <v>7.9000000000000008E-3</v>
      </c>
      <c r="J16" s="53">
        <f>ROUND($J$12*D16,0)</f>
        <v>761790</v>
      </c>
      <c r="K16" s="43">
        <f>IF(J16&gt;K$11,(J16-K$11),0)</f>
        <v>527955</v>
      </c>
      <c r="L16" s="25">
        <f>IF(K16&gt;0,ROUND(K16/$K$136,4),0)</f>
        <v>6.4999999999999997E-3</v>
      </c>
      <c r="M16" s="37"/>
      <c r="N16" s="38" t="s">
        <v>2</v>
      </c>
      <c r="O16" s="37"/>
      <c r="P16" s="71" t="s">
        <v>2</v>
      </c>
      <c r="Q16" s="72">
        <f>ROUND((I16*$Q$153)+(L16*$Q$159)+$K$4,0)</f>
        <v>1168009</v>
      </c>
      <c r="R16" s="72">
        <f>ROUND(Q16-R17,0)</f>
        <v>936860</v>
      </c>
      <c r="S16" s="57"/>
      <c r="T16" s="8"/>
      <c r="W16" s="48"/>
      <c r="X16" s="74" t="s">
        <v>122</v>
      </c>
      <c r="Y16" s="73"/>
      <c r="Z16" s="73"/>
      <c r="AA16" s="73"/>
      <c r="AB16" s="262">
        <f>SUM(AB13:AB15)</f>
        <v>0.1693375</v>
      </c>
      <c r="AC16" s="49"/>
      <c r="AD16" s="75">
        <f>SUM(AD13:AD15)</f>
        <v>1</v>
      </c>
    </row>
    <row r="17" spans="1:30" ht="19.899999999999999" customHeight="1" thickTop="1">
      <c r="A17" s="63" t="s">
        <v>123</v>
      </c>
      <c r="B17" s="64"/>
      <c r="E17" s="64">
        <f>VLOOKUP($A17,Population_2020,2,FALSE)</f>
        <v>34517</v>
      </c>
      <c r="F17" s="32">
        <f>ROUND(E17/B16,4)</f>
        <v>0.19789999999999999</v>
      </c>
      <c r="G17" s="66"/>
      <c r="H17" s="14"/>
      <c r="J17" s="67"/>
      <c r="K17" s="14"/>
      <c r="M17" s="10"/>
      <c r="N17" s="68" t="s">
        <v>2</v>
      </c>
      <c r="O17" s="10"/>
      <c r="P17" s="69" t="s">
        <v>123</v>
      </c>
      <c r="Q17" s="56"/>
      <c r="R17" s="56">
        <f>ROUND(Q16*F17,0)</f>
        <v>231149</v>
      </c>
      <c r="S17" s="12"/>
      <c r="T17" s="8"/>
      <c r="AB17" s="263"/>
    </row>
    <row r="18" spans="1:30" ht="19.899999999999999" customHeight="1">
      <c r="A18" s="24" t="s">
        <v>3</v>
      </c>
      <c r="B18" s="51">
        <f>VLOOKUP(A18,Population_2020,2)</f>
        <v>28725</v>
      </c>
      <c r="C18" s="25">
        <f>ROUND(B18/$B$137,4)</f>
        <v>1.5E-3</v>
      </c>
      <c r="D18" s="25">
        <f>ROUND(B18/$B$136,4)</f>
        <v>1.2999999999999999E-3</v>
      </c>
      <c r="E18" s="51"/>
      <c r="F18" s="70">
        <v>1</v>
      </c>
      <c r="G18" s="52">
        <f>ROUND($G$12*C18,0)</f>
        <v>70082</v>
      </c>
      <c r="H18" s="43">
        <f>IF(G18&gt;H$11,(G18-H$11),0)</f>
        <v>0</v>
      </c>
      <c r="I18" s="25">
        <f>IF(H18&gt;0,ROUND(H18/$H$136,4),0)</f>
        <v>0</v>
      </c>
      <c r="J18" s="53">
        <f>ROUND($J$12*D18,0)</f>
        <v>122263</v>
      </c>
      <c r="K18" s="43">
        <f>IF(J18&gt;K$11,(J18-K$11),0)</f>
        <v>0</v>
      </c>
      <c r="L18" s="25">
        <f>IF(K18&gt;0,ROUND(K18/$K$136,4),0)</f>
        <v>0</v>
      </c>
      <c r="M18" s="37"/>
      <c r="N18" s="68" t="s">
        <v>3</v>
      </c>
      <c r="O18" s="37"/>
      <c r="P18" s="71" t="s">
        <v>3</v>
      </c>
      <c r="Q18" s="72">
        <f>ROUND((I18*$Q$153)+(L18*$Q$159)+$K$4,0)</f>
        <v>350000</v>
      </c>
      <c r="R18" s="72">
        <f>ROUND(Q18,0)</f>
        <v>350000</v>
      </c>
      <c r="S18" s="57"/>
      <c r="T18" s="8"/>
      <c r="W18" s="16"/>
      <c r="X18" s="16"/>
      <c r="Y18" s="16"/>
      <c r="Z18" s="16"/>
      <c r="AA18" s="16"/>
      <c r="AB18" s="16"/>
      <c r="AC18" s="16"/>
      <c r="AD18" s="16"/>
    </row>
    <row r="19" spans="1:30" ht="19.899999999999999" customHeight="1">
      <c r="A19" s="24" t="s">
        <v>4</v>
      </c>
      <c r="B19" s="51">
        <f>VLOOKUP(A19,Population_2020,2)</f>
        <v>606671</v>
      </c>
      <c r="C19" s="25">
        <f>ROUND(B19/$B$137,4)</f>
        <v>3.2300000000000002E-2</v>
      </c>
      <c r="D19" s="25">
        <f>ROUND(B19/$B$136,4)</f>
        <v>2.81E-2</v>
      </c>
      <c r="E19" s="51"/>
      <c r="F19" s="70">
        <f>1-SUM(F20:F23)</f>
        <v>0.55340000000000011</v>
      </c>
      <c r="G19" s="52">
        <f>ROUND($G$12*C19,0)</f>
        <v>1509103</v>
      </c>
      <c r="H19" s="43">
        <f>IF(G19&gt;H$11,(G19-H$11),0)</f>
        <v>1392938</v>
      </c>
      <c r="I19" s="25">
        <f>IF(H19&gt;0,ROUND(H19/$H$136,4),0)</f>
        <v>3.4500000000000003E-2</v>
      </c>
      <c r="J19" s="53">
        <f>ROUND($J$12*D19,0)</f>
        <v>2642755</v>
      </c>
      <c r="K19" s="43">
        <f>IF(J19&gt;K$11,(J19-K$11),0)</f>
        <v>2408920</v>
      </c>
      <c r="L19" s="25">
        <f>IF(K19&gt;0,ROUND(K19/$K$136,4),0)</f>
        <v>2.9499999999999998E-2</v>
      </c>
      <c r="M19" s="37"/>
      <c r="N19" s="38" t="s">
        <v>4</v>
      </c>
      <c r="O19" s="37"/>
      <c r="P19" s="71" t="s">
        <v>4</v>
      </c>
      <c r="Q19" s="72">
        <f>ROUND((I19*$Q$153)+(L19*$Q$159)+$K$4,0)</f>
        <v>4009629</v>
      </c>
      <c r="R19" s="72">
        <f>ROUND(Q19-SUM(R20:R23),0)</f>
        <v>2218929</v>
      </c>
      <c r="S19" s="57"/>
      <c r="T19" s="8"/>
      <c r="W19" s="16"/>
      <c r="X19" s="16"/>
      <c r="Y19" s="16"/>
      <c r="Z19" s="16"/>
      <c r="AA19" s="16"/>
      <c r="AB19" s="16"/>
      <c r="AC19" s="16"/>
      <c r="AD19" s="16"/>
    </row>
    <row r="20" spans="1:30" ht="19.899999999999999" customHeight="1">
      <c r="A20" s="63" t="s">
        <v>89</v>
      </c>
      <c r="B20" s="64"/>
      <c r="E20" s="64">
        <f>VLOOKUP($A20,Population_2020,2,FALSE)</f>
        <v>19327</v>
      </c>
      <c r="F20" s="7">
        <f>ROUND((E20/$B$19),4)</f>
        <v>3.1899999999999998E-2</v>
      </c>
      <c r="G20" s="66"/>
      <c r="H20" s="14"/>
      <c r="J20" s="67"/>
      <c r="K20" s="14"/>
      <c r="M20" s="10"/>
      <c r="N20" s="38" t="s">
        <v>4</v>
      </c>
      <c r="O20" s="10"/>
      <c r="P20" s="69" t="s">
        <v>89</v>
      </c>
      <c r="Q20" s="56"/>
      <c r="R20" s="56">
        <f>ROUND(Q$19*F20,0)</f>
        <v>127907</v>
      </c>
      <c r="S20" s="12"/>
      <c r="T20" s="8"/>
      <c r="W20" s="16"/>
      <c r="X20" s="16"/>
      <c r="Y20" s="16"/>
      <c r="Z20" s="16"/>
      <c r="AA20" s="16"/>
      <c r="AB20" s="16"/>
      <c r="AC20" s="16"/>
      <c r="AD20" s="16"/>
    </row>
    <row r="21" spans="1:30" ht="19.899999999999999" customHeight="1">
      <c r="A21" s="63" t="s">
        <v>90</v>
      </c>
      <c r="B21" s="64"/>
      <c r="E21" s="64">
        <f>VLOOKUP($A21,Population_2020,2,FALSE)</f>
        <v>84402</v>
      </c>
      <c r="F21" s="7">
        <f>ROUND((E21/$B$19),4)</f>
        <v>0.1391</v>
      </c>
      <c r="G21" s="66"/>
      <c r="H21" s="14"/>
      <c r="J21" s="67"/>
      <c r="K21" s="14"/>
      <c r="M21" s="10"/>
      <c r="N21" s="38" t="s">
        <v>4</v>
      </c>
      <c r="O21" s="10"/>
      <c r="P21" s="69" t="s">
        <v>90</v>
      </c>
      <c r="Q21" s="56"/>
      <c r="R21" s="56">
        <f>ROUND(Q$19*F21,0)</f>
        <v>557739</v>
      </c>
      <c r="S21" s="12"/>
      <c r="T21" s="8"/>
      <c r="W21" s="16"/>
      <c r="X21" s="16"/>
      <c r="Y21" s="16"/>
      <c r="Z21" s="16"/>
      <c r="AA21" s="16"/>
      <c r="AB21" s="16"/>
      <c r="AC21" s="16"/>
      <c r="AD21" s="16"/>
    </row>
    <row r="22" spans="1:30" ht="19.899999999999999" customHeight="1">
      <c r="A22" s="63" t="s">
        <v>91</v>
      </c>
      <c r="B22" s="64"/>
      <c r="E22" s="64">
        <f>VLOOKUP($A22,Population_2020,2,FALSE)</f>
        <v>118568</v>
      </c>
      <c r="F22" s="7">
        <f>ROUND((E22/$B$19),4)</f>
        <v>0.19539999999999999</v>
      </c>
      <c r="G22" s="66"/>
      <c r="H22" s="14"/>
      <c r="J22" s="67"/>
      <c r="K22" s="14"/>
      <c r="M22" s="10"/>
      <c r="N22" s="38" t="s">
        <v>4</v>
      </c>
      <c r="O22" s="10"/>
      <c r="P22" s="69" t="s">
        <v>91</v>
      </c>
      <c r="Q22" s="56"/>
      <c r="R22" s="56">
        <f>ROUND(Q$19*F22,0)</f>
        <v>783482</v>
      </c>
      <c r="S22" s="12"/>
      <c r="T22" s="8"/>
      <c r="W22" s="16"/>
      <c r="X22" s="16"/>
      <c r="Y22" s="16"/>
      <c r="Z22" s="16"/>
      <c r="AA22" s="16"/>
      <c r="AB22" s="16"/>
      <c r="AC22" s="16"/>
      <c r="AD22" s="16"/>
    </row>
    <row r="23" spans="1:30" ht="19.899999999999999" customHeight="1">
      <c r="A23" s="63" t="s">
        <v>92</v>
      </c>
      <c r="B23" s="64"/>
      <c r="E23" s="64">
        <f>VLOOKUP($A23,Population_2020,2,FALSE)</f>
        <v>48685</v>
      </c>
      <c r="F23" s="32">
        <f>ROUND((E23/$B$19),4)</f>
        <v>8.0199999999999994E-2</v>
      </c>
      <c r="G23" s="66"/>
      <c r="H23" s="14"/>
      <c r="J23" s="67"/>
      <c r="K23" s="14"/>
      <c r="M23" s="10"/>
      <c r="N23" s="68" t="s">
        <v>4</v>
      </c>
      <c r="O23" s="10"/>
      <c r="P23" s="69" t="s">
        <v>92</v>
      </c>
      <c r="Q23" s="56"/>
      <c r="R23" s="56">
        <f>ROUND(Q$19*F23,0)</f>
        <v>321572</v>
      </c>
      <c r="S23" s="12"/>
      <c r="T23" s="8"/>
      <c r="W23" s="16"/>
      <c r="X23" s="16"/>
      <c r="Y23" s="16"/>
      <c r="Z23" s="16"/>
      <c r="AA23" s="16"/>
      <c r="AB23" s="16"/>
      <c r="AC23" s="16"/>
      <c r="AD23" s="16"/>
    </row>
    <row r="24" spans="1:30" ht="19.899999999999999" customHeight="1">
      <c r="A24" s="24" t="s">
        <v>5</v>
      </c>
      <c r="B24" s="51">
        <f>VLOOKUP(A24,Population_2020,2)</f>
        <v>1932212</v>
      </c>
      <c r="C24" s="25">
        <f>ROUND(B24/$B$137,4)+C142</f>
        <v>0.10289999999999999</v>
      </c>
      <c r="D24" s="25">
        <f>ROUND(B24/$B$136,4)+D142</f>
        <v>8.9499999999999996E-2</v>
      </c>
      <c r="E24" s="51"/>
      <c r="F24" s="70">
        <f>1-SUM(F25:F39)</f>
        <v>0.1792999999999999</v>
      </c>
      <c r="G24" s="52">
        <f>ROUND($G$12*C24,0)+G142</f>
        <v>4807637</v>
      </c>
      <c r="H24" s="43">
        <f>IF(G24&gt;H$11,(G24-H$11),0)</f>
        <v>4691472</v>
      </c>
      <c r="I24" s="25">
        <f>IF(H24&gt;0,ROUND(H24/$H$136,4),0)+I142</f>
        <v>0.1159</v>
      </c>
      <c r="J24" s="53">
        <f>ROUND($J$12*D24,0)+J142</f>
        <v>8417313</v>
      </c>
      <c r="K24" s="43">
        <f>IF(J24&gt;K$11,(J24-K$11),0)</f>
        <v>8183478</v>
      </c>
      <c r="L24" s="25">
        <f>IF(K24&gt;0,ROUND(K24/$K$136,4),0)+L142</f>
        <v>0.1002</v>
      </c>
      <c r="M24" s="37"/>
      <c r="N24" s="38" t="s">
        <v>5</v>
      </c>
      <c r="O24" s="37"/>
      <c r="P24" s="71" t="s">
        <v>5</v>
      </c>
      <c r="Q24" s="72">
        <f>ROUND((I24*$Q$153)+(L24*$Q$159)+$K$4,0)+Q142</f>
        <v>12730225</v>
      </c>
      <c r="R24" s="72">
        <f>ROUND(Q24-SUM(R25:R39),0)</f>
        <v>2282529</v>
      </c>
      <c r="S24" s="57"/>
      <c r="T24" s="8"/>
      <c r="W24" s="16"/>
      <c r="X24" s="16"/>
      <c r="Y24" s="16"/>
      <c r="Z24" s="16"/>
      <c r="AA24" s="16"/>
      <c r="AB24" s="16"/>
      <c r="AC24" s="16"/>
      <c r="AD24" s="16"/>
    </row>
    <row r="25" spans="1:30" ht="19.899999999999999" customHeight="1">
      <c r="A25" s="76" t="s">
        <v>124</v>
      </c>
      <c r="B25" s="77"/>
      <c r="C25" s="78"/>
      <c r="D25" s="78"/>
      <c r="E25" s="77">
        <f t="shared" ref="E25:E36" si="0">VLOOKUP($A25,Population_2020,2,FALSE)</f>
        <v>58803</v>
      </c>
      <c r="F25" s="79">
        <f>ROUND((E25/$B$24),4)</f>
        <v>3.04E-2</v>
      </c>
      <c r="G25" s="80"/>
      <c r="H25" s="81"/>
      <c r="I25" s="78"/>
      <c r="J25" s="82"/>
      <c r="K25" s="81"/>
      <c r="L25" s="78"/>
      <c r="M25" s="83"/>
      <c r="N25" s="84" t="s">
        <v>5</v>
      </c>
      <c r="O25" s="83"/>
      <c r="P25" s="85" t="s">
        <v>124</v>
      </c>
      <c r="Q25" s="86"/>
      <c r="R25" s="86">
        <f t="shared" ref="R25:R36" si="1">ROUND(Q$24*F25,0)</f>
        <v>386999</v>
      </c>
      <c r="S25" s="87"/>
      <c r="T25" s="8"/>
      <c r="U25" s="88"/>
      <c r="V25" s="88"/>
      <c r="W25" s="16"/>
      <c r="X25" s="16"/>
      <c r="Y25" s="16"/>
      <c r="Z25" s="16"/>
      <c r="AA25" s="16"/>
      <c r="AB25" s="16"/>
      <c r="AC25" s="16"/>
      <c r="AD25" s="16"/>
    </row>
    <row r="26" spans="1:30" ht="19.899999999999999" customHeight="1">
      <c r="A26" s="63" t="s">
        <v>125</v>
      </c>
      <c r="B26" s="64"/>
      <c r="E26" s="64">
        <f t="shared" si="0"/>
        <v>129263</v>
      </c>
      <c r="F26" s="7">
        <f>ROUND((E26/$B$24),4)</f>
        <v>6.6900000000000001E-2</v>
      </c>
      <c r="G26" s="66"/>
      <c r="H26" s="14"/>
      <c r="J26" s="67"/>
      <c r="K26" s="14"/>
      <c r="M26" s="10"/>
      <c r="N26" s="38" t="s">
        <v>5</v>
      </c>
      <c r="O26" s="10"/>
      <c r="P26" s="69" t="s">
        <v>125</v>
      </c>
      <c r="Q26" s="56"/>
      <c r="R26" s="56">
        <f t="shared" si="1"/>
        <v>851652</v>
      </c>
      <c r="S26" s="12"/>
      <c r="T26" s="8"/>
      <c r="W26" s="16"/>
      <c r="X26" s="16"/>
      <c r="Y26" s="16"/>
      <c r="Z26" s="16"/>
      <c r="AA26" s="16"/>
      <c r="AB26" s="16"/>
      <c r="AC26" s="16"/>
      <c r="AD26" s="16"/>
    </row>
    <row r="27" spans="1:30" ht="19.899999999999999" customHeight="1">
      <c r="A27" s="63" t="s">
        <v>126</v>
      </c>
      <c r="B27" s="64"/>
      <c r="E27" s="64">
        <f t="shared" si="0"/>
        <v>105050</v>
      </c>
      <c r="F27" s="7">
        <f t="shared" ref="F27:F36" si="2">ROUND((E27/$B$24),4)</f>
        <v>5.4399999999999997E-2</v>
      </c>
      <c r="G27" s="66"/>
      <c r="H27" s="14"/>
      <c r="J27" s="67"/>
      <c r="K27" s="14"/>
      <c r="M27" s="10"/>
      <c r="N27" s="38" t="s">
        <v>5</v>
      </c>
      <c r="O27" s="10"/>
      <c r="P27" s="69" t="s">
        <v>126</v>
      </c>
      <c r="Q27" s="56"/>
      <c r="R27" s="56">
        <f t="shared" si="1"/>
        <v>692524</v>
      </c>
      <c r="S27" s="12"/>
      <c r="T27" s="8"/>
      <c r="W27" s="149"/>
      <c r="X27" s="149"/>
      <c r="Y27" s="149"/>
      <c r="Z27" s="149"/>
      <c r="AA27" s="149"/>
      <c r="AB27" s="149"/>
      <c r="AC27" s="149"/>
      <c r="AD27" s="149"/>
    </row>
    <row r="28" spans="1:30" ht="19.899999999999999" customHeight="1">
      <c r="A28" s="63" t="s">
        <v>88</v>
      </c>
      <c r="B28" s="64"/>
      <c r="E28" s="64">
        <f t="shared" si="0"/>
        <v>80178</v>
      </c>
      <c r="F28" s="7">
        <f t="shared" si="2"/>
        <v>4.1500000000000002E-2</v>
      </c>
      <c r="G28" s="66"/>
      <c r="H28" s="14"/>
      <c r="J28" s="67"/>
      <c r="K28" s="14"/>
      <c r="M28" s="10"/>
      <c r="N28" s="38" t="s">
        <v>5</v>
      </c>
      <c r="O28" s="10"/>
      <c r="P28" s="89" t="s">
        <v>88</v>
      </c>
      <c r="Q28" s="56"/>
      <c r="R28" s="56">
        <f t="shared" si="1"/>
        <v>528304</v>
      </c>
      <c r="S28" s="12"/>
      <c r="T28" s="8"/>
      <c r="W28" s="149"/>
      <c r="X28" s="149"/>
      <c r="Y28" s="149"/>
      <c r="Z28" s="149"/>
      <c r="AA28" s="149"/>
      <c r="AB28" s="149"/>
      <c r="AC28" s="149"/>
      <c r="AD28" s="149"/>
    </row>
    <row r="29" spans="1:30" ht="19.899999999999999" customHeight="1">
      <c r="A29" s="114" t="s">
        <v>601</v>
      </c>
      <c r="B29" s="64"/>
      <c r="E29" s="64">
        <f t="shared" si="0"/>
        <v>189321</v>
      </c>
      <c r="F29" s="7">
        <f t="shared" si="2"/>
        <v>9.8000000000000004E-2</v>
      </c>
      <c r="G29" s="66"/>
      <c r="H29" s="14"/>
      <c r="J29" s="67"/>
      <c r="K29" s="14"/>
      <c r="M29" s="10"/>
      <c r="N29" s="38" t="s">
        <v>5</v>
      </c>
      <c r="O29" s="10"/>
      <c r="P29" s="146" t="s">
        <v>601</v>
      </c>
      <c r="Q29" s="56"/>
      <c r="R29" s="56">
        <f t="shared" si="1"/>
        <v>1247562</v>
      </c>
      <c r="S29" s="12"/>
      <c r="T29" s="8"/>
      <c r="W29" s="149"/>
      <c r="X29" s="149"/>
      <c r="Y29" s="149"/>
      <c r="Z29" s="149"/>
      <c r="AA29" s="149"/>
      <c r="AB29" s="149"/>
      <c r="AC29" s="149"/>
      <c r="AD29" s="149"/>
    </row>
    <row r="30" spans="1:30" ht="19.899999999999999" customHeight="1">
      <c r="A30" s="63" t="s">
        <v>127</v>
      </c>
      <c r="B30" s="64"/>
      <c r="E30" s="64">
        <f t="shared" si="0"/>
        <v>151818</v>
      </c>
      <c r="F30" s="7">
        <f t="shared" si="2"/>
        <v>7.8600000000000003E-2</v>
      </c>
      <c r="G30" s="66"/>
      <c r="H30" s="14"/>
      <c r="J30" s="67"/>
      <c r="K30" s="14"/>
      <c r="M30" s="10"/>
      <c r="N30" s="38" t="s">
        <v>5</v>
      </c>
      <c r="O30" s="10"/>
      <c r="P30" s="69" t="s">
        <v>127</v>
      </c>
      <c r="Q30" s="56"/>
      <c r="R30" s="56">
        <f t="shared" si="1"/>
        <v>1000596</v>
      </c>
      <c r="S30" s="12"/>
      <c r="T30" s="8"/>
      <c r="W30" s="149"/>
      <c r="X30" s="149"/>
      <c r="Y30" s="149"/>
      <c r="Z30" s="149"/>
      <c r="AA30" s="149"/>
      <c r="AB30" s="149"/>
      <c r="AC30" s="149"/>
      <c r="AD30" s="149"/>
    </row>
    <row r="31" spans="1:30" ht="19.899999999999999" customHeight="1">
      <c r="A31" s="63" t="s">
        <v>128</v>
      </c>
      <c r="B31" s="64"/>
      <c r="E31" s="64">
        <f t="shared" si="0"/>
        <v>72507</v>
      </c>
      <c r="F31" s="7">
        <f t="shared" si="2"/>
        <v>3.7499999999999999E-2</v>
      </c>
      <c r="G31" s="66"/>
      <c r="H31" s="14"/>
      <c r="J31" s="67"/>
      <c r="K31" s="14"/>
      <c r="M31" s="10"/>
      <c r="N31" s="38" t="s">
        <v>5</v>
      </c>
      <c r="O31" s="10"/>
      <c r="P31" s="69" t="s">
        <v>128</v>
      </c>
      <c r="Q31" s="56"/>
      <c r="R31" s="56">
        <f t="shared" si="1"/>
        <v>477383</v>
      </c>
      <c r="S31" s="12"/>
      <c r="T31" s="8"/>
      <c r="W31" s="149"/>
      <c r="X31" s="149"/>
      <c r="Y31" s="149"/>
      <c r="Z31" s="149"/>
      <c r="AA31" s="149"/>
      <c r="AB31" s="149"/>
      <c r="AC31" s="149"/>
      <c r="AD31" s="149"/>
    </row>
    <row r="32" spans="1:30" ht="19.899999999999999" customHeight="1">
      <c r="A32" s="63" t="s">
        <v>129</v>
      </c>
      <c r="B32" s="64"/>
      <c r="E32" s="64">
        <f t="shared" si="0"/>
        <v>59351</v>
      </c>
      <c r="F32" s="7">
        <f t="shared" si="2"/>
        <v>3.0700000000000002E-2</v>
      </c>
      <c r="G32" s="66"/>
      <c r="H32" s="14"/>
      <c r="J32" s="67"/>
      <c r="K32" s="14"/>
      <c r="M32" s="10"/>
      <c r="N32" s="38" t="s">
        <v>5</v>
      </c>
      <c r="O32" s="10"/>
      <c r="P32" s="69" t="s">
        <v>129</v>
      </c>
      <c r="Q32" s="56"/>
      <c r="R32" s="56">
        <f t="shared" si="1"/>
        <v>390818</v>
      </c>
      <c r="S32" s="12"/>
      <c r="T32" s="8"/>
      <c r="W32" s="149"/>
      <c r="X32" s="149"/>
      <c r="Y32" s="149"/>
      <c r="Z32" s="149"/>
      <c r="AA32" s="149"/>
      <c r="AB32" s="149"/>
      <c r="AC32" s="149"/>
      <c r="AD32" s="149"/>
    </row>
    <row r="33" spans="1:30" ht="19.899999999999999" customHeight="1">
      <c r="A33" s="63" t="s">
        <v>130</v>
      </c>
      <c r="B33" s="64"/>
      <c r="E33" s="64">
        <f t="shared" si="0"/>
        <v>138873</v>
      </c>
      <c r="F33" s="7">
        <f t="shared" si="2"/>
        <v>7.1900000000000006E-2</v>
      </c>
      <c r="G33" s="66"/>
      <c r="H33" s="14"/>
      <c r="J33" s="67"/>
      <c r="K33" s="14"/>
      <c r="M33" s="10"/>
      <c r="N33" s="38" t="s">
        <v>5</v>
      </c>
      <c r="O33" s="10"/>
      <c r="P33" s="69" t="s">
        <v>130</v>
      </c>
      <c r="Q33" s="56"/>
      <c r="R33" s="56">
        <f t="shared" si="1"/>
        <v>915303</v>
      </c>
      <c r="S33" s="12"/>
      <c r="T33" s="8"/>
      <c r="W33" s="149"/>
      <c r="X33" s="149"/>
      <c r="Y33" s="149"/>
      <c r="Z33" s="149"/>
      <c r="AA33" s="149"/>
      <c r="AB33" s="149"/>
      <c r="AC33" s="149"/>
      <c r="AD33" s="149"/>
    </row>
    <row r="34" spans="1:30" ht="19.899999999999999" customHeight="1">
      <c r="A34" s="63" t="s">
        <v>131</v>
      </c>
      <c r="B34" s="64"/>
      <c r="E34" s="64">
        <f t="shared" si="0"/>
        <v>168949</v>
      </c>
      <c r="F34" s="7">
        <f t="shared" si="2"/>
        <v>8.7400000000000005E-2</v>
      </c>
      <c r="G34" s="66"/>
      <c r="H34" s="14"/>
      <c r="J34" s="67"/>
      <c r="K34" s="14"/>
      <c r="M34" s="10"/>
      <c r="N34" s="38" t="s">
        <v>5</v>
      </c>
      <c r="O34" s="10"/>
      <c r="P34" s="69" t="s">
        <v>131</v>
      </c>
      <c r="Q34" s="56"/>
      <c r="R34" s="56">
        <f t="shared" si="1"/>
        <v>1112622</v>
      </c>
      <c r="S34" s="12"/>
      <c r="T34" s="8"/>
    </row>
    <row r="35" spans="1:30" ht="19.899999999999999" customHeight="1">
      <c r="A35" s="63" t="s">
        <v>132</v>
      </c>
      <c r="B35" s="64"/>
      <c r="E35" s="64">
        <f t="shared" si="0"/>
        <v>90802</v>
      </c>
      <c r="F35" s="7">
        <f t="shared" si="2"/>
        <v>4.7E-2</v>
      </c>
      <c r="G35" s="66"/>
      <c r="H35" s="14"/>
      <c r="J35" s="67"/>
      <c r="K35" s="14"/>
      <c r="M35" s="10"/>
      <c r="N35" s="38" t="s">
        <v>5</v>
      </c>
      <c r="O35" s="10"/>
      <c r="P35" s="69" t="s">
        <v>132</v>
      </c>
      <c r="Q35" s="56"/>
      <c r="R35" s="56">
        <f t="shared" si="1"/>
        <v>598321</v>
      </c>
      <c r="S35" s="12"/>
      <c r="T35" s="8"/>
      <c r="W35" s="90"/>
    </row>
    <row r="36" spans="1:30" ht="19.899999999999999" customHeight="1">
      <c r="A36" s="63" t="s">
        <v>133</v>
      </c>
      <c r="B36" s="64"/>
      <c r="E36" s="64">
        <f t="shared" si="0"/>
        <v>112941</v>
      </c>
      <c r="F36" s="7">
        <f t="shared" si="2"/>
        <v>5.8500000000000003E-2</v>
      </c>
      <c r="G36" s="66"/>
      <c r="H36" s="14"/>
      <c r="J36" s="67"/>
      <c r="K36" s="14"/>
      <c r="M36" s="10"/>
      <c r="N36" s="38" t="s">
        <v>5</v>
      </c>
      <c r="O36" s="10"/>
      <c r="P36" s="69" t="s">
        <v>133</v>
      </c>
      <c r="Q36" s="56"/>
      <c r="R36" s="56">
        <f t="shared" si="1"/>
        <v>744718</v>
      </c>
      <c r="S36" s="12"/>
      <c r="T36" s="8"/>
      <c r="W36" s="147"/>
      <c r="X36" s="148"/>
      <c r="Y36" s="148"/>
      <c r="Z36" s="148"/>
      <c r="AA36" s="148"/>
      <c r="AB36" s="148"/>
      <c r="AC36" s="148"/>
      <c r="AD36" s="148"/>
    </row>
    <row r="37" spans="1:30" ht="19.899999999999999" customHeight="1">
      <c r="A37" s="63" t="s">
        <v>134</v>
      </c>
      <c r="B37" s="64"/>
      <c r="E37" s="64">
        <f>VLOOKUP($A37,Population_2020,2,FALSE)</f>
        <v>94333</v>
      </c>
      <c r="F37" s="7">
        <f>ROUND((E37/$B$24),4)</f>
        <v>4.8800000000000003E-2</v>
      </c>
      <c r="G37" s="66"/>
      <c r="H37" s="14"/>
      <c r="J37" s="67"/>
      <c r="K37" s="14"/>
      <c r="M37" s="10"/>
      <c r="N37" s="38" t="s">
        <v>5</v>
      </c>
      <c r="O37" s="10"/>
      <c r="P37" s="69" t="s">
        <v>134</v>
      </c>
      <c r="Q37" s="56"/>
      <c r="R37" s="56">
        <f>ROUND(Q$24*F37,0)</f>
        <v>621235</v>
      </c>
      <c r="S37" s="12"/>
      <c r="T37" s="8"/>
      <c r="W37" s="148"/>
      <c r="X37" s="148"/>
      <c r="Y37" s="148"/>
      <c r="Z37" s="148"/>
      <c r="AA37" s="148"/>
      <c r="AB37" s="148"/>
      <c r="AC37" s="148"/>
      <c r="AD37" s="148"/>
    </row>
    <row r="38" spans="1:30" ht="19.899999999999999" customHeight="1">
      <c r="A38" s="63" t="s">
        <v>135</v>
      </c>
      <c r="B38" s="64"/>
      <c r="E38" s="64">
        <f>VLOOKUP($A38,Population_2020,2,FALSE)</f>
        <v>66089</v>
      </c>
      <c r="F38" s="65">
        <f>ROUND((E38/$B$24),4)</f>
        <v>3.4200000000000001E-2</v>
      </c>
      <c r="G38" s="66"/>
      <c r="H38" s="14"/>
      <c r="J38" s="67"/>
      <c r="K38" s="14"/>
      <c r="M38" s="10"/>
      <c r="N38" s="38" t="s">
        <v>5</v>
      </c>
      <c r="O38" s="10"/>
      <c r="P38" s="69" t="s">
        <v>135</v>
      </c>
      <c r="Q38" s="56"/>
      <c r="R38" s="56">
        <f>ROUND(Q$24*F38,0)</f>
        <v>435374</v>
      </c>
      <c r="S38" s="12"/>
      <c r="T38" s="8"/>
      <c r="W38" s="148"/>
      <c r="X38" s="148"/>
      <c r="Y38" s="148"/>
      <c r="Z38" s="148"/>
      <c r="AA38" s="148"/>
      <c r="AB38" s="148"/>
      <c r="AC38" s="148"/>
      <c r="AD38" s="148"/>
    </row>
    <row r="39" spans="1:30" ht="19.899999999999999" customHeight="1">
      <c r="A39" s="63" t="s">
        <v>465</v>
      </c>
      <c r="B39" s="64"/>
      <c r="E39" s="64">
        <f>VLOOKUP($A39,Population_2020,2,FALSE)</f>
        <v>67438</v>
      </c>
      <c r="F39" s="32">
        <f>ROUND((E39/$B$24),4)</f>
        <v>3.49E-2</v>
      </c>
      <c r="G39" s="66"/>
      <c r="H39" s="14"/>
      <c r="J39" s="67"/>
      <c r="K39" s="14"/>
      <c r="M39" s="10"/>
      <c r="N39" s="68" t="s">
        <v>5</v>
      </c>
      <c r="O39" s="10"/>
      <c r="P39" s="69" t="s">
        <v>465</v>
      </c>
      <c r="Q39" s="56"/>
      <c r="R39" s="56">
        <f>ROUND(Q$24*F39,0)</f>
        <v>444285</v>
      </c>
      <c r="S39" s="12"/>
      <c r="T39" s="8"/>
      <c r="W39" s="148"/>
      <c r="X39" s="148"/>
      <c r="Y39" s="148"/>
      <c r="Z39" s="148"/>
      <c r="AA39" s="148"/>
      <c r="AB39" s="148"/>
      <c r="AC39" s="148"/>
      <c r="AD39" s="148"/>
    </row>
    <row r="40" spans="1:30" ht="19.899999999999999" customHeight="1">
      <c r="A40" s="24" t="s">
        <v>6</v>
      </c>
      <c r="B40" s="51">
        <f>VLOOKUP(A40,Population_2020,2)</f>
        <v>14489</v>
      </c>
      <c r="C40" s="25">
        <f>ROUND(B40/$B$137,4)</f>
        <v>8.0000000000000004E-4</v>
      </c>
      <c r="D40" s="25">
        <f>ROUND(B40/$B$136,4)</f>
        <v>6.9999999999999999E-4</v>
      </c>
      <c r="E40" s="51"/>
      <c r="F40" s="70">
        <v>1</v>
      </c>
      <c r="G40" s="52">
        <f>ROUND($G$12*C40,0)</f>
        <v>37377</v>
      </c>
      <c r="H40" s="43">
        <f>IF(G40&gt;H$11,(G40-H$11),0)</f>
        <v>0</v>
      </c>
      <c r="I40" s="25">
        <f>IF(H40&gt;0,ROUND(H40/$H$136,4),0)</f>
        <v>0</v>
      </c>
      <c r="J40" s="53">
        <f>ROUND($J$12*D40,0)</f>
        <v>65834</v>
      </c>
      <c r="K40" s="43">
        <f>IF(J40&gt;K$11,(J40-K$11),0)</f>
        <v>0</v>
      </c>
      <c r="L40" s="25">
        <f>IF(K40&gt;0,ROUND(K40/$K$136,4),0)</f>
        <v>0</v>
      </c>
      <c r="M40" s="37"/>
      <c r="N40" s="68" t="s">
        <v>6</v>
      </c>
      <c r="O40" s="37"/>
      <c r="P40" s="71" t="s">
        <v>6</v>
      </c>
      <c r="Q40" s="72">
        <f>ROUND((I40*$Q$153)+(L40*$Q$159)+$K$4,0)</f>
        <v>350000</v>
      </c>
      <c r="R40" s="72">
        <f>ROUND(Q40,0)</f>
        <v>350000</v>
      </c>
      <c r="S40" s="57"/>
      <c r="T40" s="8"/>
      <c r="W40" s="148"/>
      <c r="X40" s="148"/>
      <c r="Y40" s="148"/>
      <c r="Z40" s="148"/>
      <c r="AA40" s="148"/>
      <c r="AB40" s="148"/>
      <c r="AC40" s="148"/>
      <c r="AD40" s="148"/>
    </row>
    <row r="41" spans="1:30" ht="19.899999999999999" customHeight="1">
      <c r="A41" s="24" t="s">
        <v>7</v>
      </c>
      <c r="B41" s="51">
        <f>VLOOKUP(A41,Population_2020,2)</f>
        <v>187904</v>
      </c>
      <c r="C41" s="25">
        <f>ROUND(B41/$B$137,4)</f>
        <v>0.01</v>
      </c>
      <c r="D41" s="25">
        <f>ROUND(B41/$B$136,4)</f>
        <v>8.6999999999999994E-3</v>
      </c>
      <c r="E41" s="51"/>
      <c r="F41" s="70">
        <f>ROUND(SUM(B41-E42)/B41,4)</f>
        <v>0.89139999999999997</v>
      </c>
      <c r="G41" s="52">
        <f>ROUND($G$12*C41,0)</f>
        <v>467214</v>
      </c>
      <c r="H41" s="43">
        <f>IF(G41&gt;H$11,(G41-H$11),0)</f>
        <v>351049</v>
      </c>
      <c r="I41" s="25">
        <f>IF(H41&gt;0,ROUND(H41/$H$136,4),0)</f>
        <v>8.6999999999999994E-3</v>
      </c>
      <c r="J41" s="53">
        <f>ROUND($J$12*D41,0)</f>
        <v>818219</v>
      </c>
      <c r="K41" s="43">
        <f>IF(J41&gt;K$11,(J41-K$11),0)</f>
        <v>584384</v>
      </c>
      <c r="L41" s="25">
        <f>IF(K41&gt;0,ROUND(K41/$K$136,4),0)</f>
        <v>7.1999999999999998E-3</v>
      </c>
      <c r="M41" s="37"/>
      <c r="N41" s="38" t="s">
        <v>7</v>
      </c>
      <c r="O41" s="37"/>
      <c r="P41" s="71" t="s">
        <v>7</v>
      </c>
      <c r="Q41" s="72">
        <f>ROUND((I41*$Q$153)+(L41*$Q$159)+$K$4,0)</f>
        <v>1254120</v>
      </c>
      <c r="R41" s="72">
        <f>ROUND(Q41-R42,0)</f>
        <v>1117923</v>
      </c>
      <c r="S41" s="57"/>
      <c r="T41" s="8"/>
      <c r="W41" s="147"/>
      <c r="X41" s="148"/>
      <c r="Y41" s="148"/>
      <c r="Z41" s="148"/>
      <c r="AA41" s="148"/>
      <c r="AB41" s="148"/>
      <c r="AC41" s="148"/>
      <c r="AD41" s="148"/>
    </row>
    <row r="42" spans="1:30" ht="19.899999999999999" customHeight="1">
      <c r="A42" s="63" t="s">
        <v>8</v>
      </c>
      <c r="B42" s="64"/>
      <c r="E42" s="64">
        <f>VLOOKUP($A42,Population_2020,2,FALSE)</f>
        <v>20405</v>
      </c>
      <c r="F42" s="32">
        <f>ROUND(SUM(E42/B41),4)</f>
        <v>0.1086</v>
      </c>
      <c r="G42" s="66"/>
      <c r="H42" s="14"/>
      <c r="J42" s="67"/>
      <c r="K42" s="14"/>
      <c r="M42" s="10"/>
      <c r="N42" s="68" t="s">
        <v>7</v>
      </c>
      <c r="O42" s="10"/>
      <c r="P42" s="69" t="s">
        <v>8</v>
      </c>
      <c r="Q42" s="56"/>
      <c r="R42" s="56">
        <f>ROUND(Q41*F42,0)</f>
        <v>136197</v>
      </c>
      <c r="S42" s="12"/>
      <c r="T42" s="8"/>
      <c r="W42" s="148"/>
      <c r="X42" s="148"/>
      <c r="Y42" s="148"/>
      <c r="Z42" s="148"/>
      <c r="AA42" s="148"/>
      <c r="AB42" s="148"/>
      <c r="AC42" s="148"/>
      <c r="AD42" s="148"/>
    </row>
    <row r="43" spans="1:30" ht="19.899999999999999" customHeight="1">
      <c r="A43" s="24" t="s">
        <v>9</v>
      </c>
      <c r="B43" s="51">
        <f>VLOOKUP(A43,Population_2020,2)</f>
        <v>149383</v>
      </c>
      <c r="C43" s="25">
        <f>ROUND(B43/$B$137,4)</f>
        <v>8.0000000000000002E-3</v>
      </c>
      <c r="D43" s="25">
        <f>ROUND(B43/$B$136,4)</f>
        <v>6.8999999999999999E-3</v>
      </c>
      <c r="E43" s="51"/>
      <c r="F43" s="70">
        <v>1</v>
      </c>
      <c r="G43" s="52">
        <f>ROUND($G$12*C43,0)</f>
        <v>373772</v>
      </c>
      <c r="H43" s="43">
        <f>IF(G43&gt;H$11,(G43-H$11),0)</f>
        <v>257607</v>
      </c>
      <c r="I43" s="25">
        <f>IF(H43&gt;0,ROUND(H43/$H$136,4),0)</f>
        <v>6.4000000000000003E-3</v>
      </c>
      <c r="J43" s="53">
        <f>ROUND($J$12*D43,0)</f>
        <v>648933</v>
      </c>
      <c r="K43" s="43">
        <f>IF(J43&gt;K$11,(J43-K$11),0)</f>
        <v>415098</v>
      </c>
      <c r="L43" s="25">
        <f>IF(K43&gt;0,ROUND(K43/$K$136,4),0)</f>
        <v>5.1000000000000004E-3</v>
      </c>
      <c r="M43" s="37"/>
      <c r="N43" s="68" t="s">
        <v>9</v>
      </c>
      <c r="O43" s="37"/>
      <c r="P43" s="71" t="s">
        <v>9</v>
      </c>
      <c r="Q43" s="72">
        <f>ROUND((I43*$Q$153)+(L43*$Q$159)+$K$4,0)</f>
        <v>999694</v>
      </c>
      <c r="R43" s="72">
        <f>ROUND(Q43,0)</f>
        <v>999694</v>
      </c>
      <c r="S43" s="57"/>
      <c r="T43" s="8"/>
      <c r="W43" s="148"/>
      <c r="X43" s="148"/>
      <c r="Y43" s="148"/>
      <c r="Z43" s="148"/>
      <c r="AA43" s="148"/>
      <c r="AB43" s="148"/>
      <c r="AC43" s="148"/>
      <c r="AD43" s="148"/>
    </row>
    <row r="44" spans="1:30" ht="19.899999999999999" customHeight="1">
      <c r="A44" s="24" t="s">
        <v>10</v>
      </c>
      <c r="B44" s="51">
        <f>VLOOKUP(A44,Population_2020,2)</f>
        <v>219575</v>
      </c>
      <c r="C44" s="25">
        <f>ROUND(B44/$B$137,4)</f>
        <v>1.17E-2</v>
      </c>
      <c r="D44" s="25">
        <f>ROUND(B44/$B$136,4)</f>
        <v>1.0200000000000001E-2</v>
      </c>
      <c r="E44" s="51"/>
      <c r="F44" s="70">
        <v>1</v>
      </c>
      <c r="G44" s="52">
        <f>ROUND($G$12*C44,0)</f>
        <v>546641</v>
      </c>
      <c r="H44" s="43">
        <f>IF(G44&gt;H$11,(G44-H$11),0)</f>
        <v>430476</v>
      </c>
      <c r="I44" s="25">
        <f>IF(H44&gt;0,ROUND(H44/$H$136,4),0)</f>
        <v>1.06E-2</v>
      </c>
      <c r="J44" s="53">
        <f>ROUND($J$12*D44,0)</f>
        <v>959292</v>
      </c>
      <c r="K44" s="43">
        <f>IF(J44&gt;K$11,(J44-K$11),0)</f>
        <v>725457</v>
      </c>
      <c r="L44" s="25">
        <f>IF(K44&gt;0,ROUND(K44/$K$136,4),0)</f>
        <v>8.8999999999999999E-3</v>
      </c>
      <c r="M44" s="37"/>
      <c r="N44" s="68" t="s">
        <v>10</v>
      </c>
      <c r="O44" s="37"/>
      <c r="P44" s="91" t="s">
        <v>10</v>
      </c>
      <c r="Q44" s="92">
        <f>ROUND((I44*$Q$153)+(L44*$Q$159)+$K$4,0)</f>
        <v>1461572</v>
      </c>
      <c r="R44" s="92">
        <f>ROUND(Q44,0)</f>
        <v>1461572</v>
      </c>
      <c r="S44" s="57"/>
      <c r="T44" s="8"/>
      <c r="W44" s="148"/>
      <c r="X44" s="148"/>
      <c r="Y44" s="148"/>
      <c r="Z44" s="148"/>
      <c r="AA44" s="148"/>
      <c r="AB44" s="148"/>
      <c r="AC44" s="148"/>
      <c r="AD44" s="148"/>
    </row>
    <row r="45" spans="1:30" ht="19.899999999999999" customHeight="1">
      <c r="A45" s="24" t="s">
        <v>136</v>
      </c>
      <c r="B45" s="51">
        <f>VLOOKUP(A45,Population_2020,2)</f>
        <v>387450</v>
      </c>
      <c r="C45" s="25">
        <f>ROUND(B45/$B$137,4)</f>
        <v>2.06E-2</v>
      </c>
      <c r="D45" s="25">
        <f>ROUND(B45/$B$136,4)</f>
        <v>1.7899999999999999E-2</v>
      </c>
      <c r="E45" s="51"/>
      <c r="F45" s="70">
        <f>ROUND((B45-E46)/B45,4)</f>
        <v>0.9456</v>
      </c>
      <c r="G45" s="52">
        <f>ROUND($G$12*C45,0)</f>
        <v>962462</v>
      </c>
      <c r="H45" s="43">
        <f>IF(G45&gt;H$11,(G45-H$11),0)</f>
        <v>846297</v>
      </c>
      <c r="I45" s="25">
        <f>IF(H45&gt;0,ROUND(H45/$H$136,4),0)</f>
        <v>2.0899999999999998E-2</v>
      </c>
      <c r="J45" s="53">
        <f>ROUND($J$12*D45,0)</f>
        <v>1683463</v>
      </c>
      <c r="K45" s="43">
        <f>IF(J45&gt;K$11,(J45-K$11),0)</f>
        <v>1449628</v>
      </c>
      <c r="L45" s="25">
        <f>IF(K45&gt;0,ROUND(K45/$K$136,4),0)</f>
        <v>1.78E-2</v>
      </c>
      <c r="M45" s="37"/>
      <c r="N45" s="38" t="s">
        <v>136</v>
      </c>
      <c r="O45" s="37"/>
      <c r="P45" s="71" t="s">
        <v>136</v>
      </c>
      <c r="Q45" s="72">
        <f>ROUND((I45*$Q$153)+(L45*$Q$159)+$K$4,0)</f>
        <v>2561427</v>
      </c>
      <c r="R45" s="72">
        <f>ROUND(Q45-R46,0)</f>
        <v>2422085</v>
      </c>
      <c r="S45" s="57"/>
      <c r="T45" s="8"/>
    </row>
    <row r="46" spans="1:30" ht="19.899999999999999" customHeight="1">
      <c r="A46" s="63" t="s">
        <v>137</v>
      </c>
      <c r="B46" s="64"/>
      <c r="E46" s="64">
        <f>VLOOKUP($A46,Population_2020,2,FALSE)</f>
        <v>21063</v>
      </c>
      <c r="F46" s="32">
        <f>ROUND(E46/B45,4)</f>
        <v>5.4399999999999997E-2</v>
      </c>
      <c r="G46" s="66"/>
      <c r="H46" s="14"/>
      <c r="J46" s="67"/>
      <c r="K46" s="14"/>
      <c r="M46" s="10"/>
      <c r="N46" s="68" t="s">
        <v>136</v>
      </c>
      <c r="O46" s="10"/>
      <c r="P46" s="69" t="s">
        <v>137</v>
      </c>
      <c r="Q46" s="56"/>
      <c r="R46" s="56">
        <f>ROUND(Q45*F46,0)</f>
        <v>139342</v>
      </c>
      <c r="S46" s="12"/>
      <c r="T46" s="8"/>
    </row>
    <row r="47" spans="1:30" ht="19.899999999999999" customHeight="1">
      <c r="A47" s="24" t="s">
        <v>11</v>
      </c>
      <c r="B47" s="51">
        <f>VLOOKUP(A47,Population_2020,2)</f>
        <v>70617</v>
      </c>
      <c r="C47" s="25">
        <f>ROUND(B47/$B$137,4)</f>
        <v>3.8E-3</v>
      </c>
      <c r="D47" s="25">
        <f>ROUND(B47/$B$136,4)</f>
        <v>3.3E-3</v>
      </c>
      <c r="E47" s="51"/>
      <c r="F47" s="70">
        <v>1</v>
      </c>
      <c r="G47" s="52">
        <f>ROUND($G$12*C47,0)</f>
        <v>177541</v>
      </c>
      <c r="H47" s="43">
        <f>IF(G47&gt;H$11,(G47-H$11),0)</f>
        <v>61376</v>
      </c>
      <c r="I47" s="25">
        <f>IF(H47&gt;0,ROUND(H47/$H$136,4),0)</f>
        <v>1.5E-3</v>
      </c>
      <c r="J47" s="53">
        <f>ROUND($J$12*D47,0)</f>
        <v>310359</v>
      </c>
      <c r="K47" s="43">
        <f>IF(J47&gt;K$11,(J47-K$11),0)</f>
        <v>76524</v>
      </c>
      <c r="L47" s="25">
        <f>IF(K47&gt;0,ROUND(K47/$K$136,4),0)</f>
        <v>8.9999999999999998E-4</v>
      </c>
      <c r="M47" s="37"/>
      <c r="N47" s="68" t="s">
        <v>11</v>
      </c>
      <c r="O47" s="37"/>
      <c r="P47" s="71" t="s">
        <v>11</v>
      </c>
      <c r="Q47" s="72">
        <f>ROUND((I47*$Q$153)+(L47*$Q$159)+$K$4,0)</f>
        <v>479125</v>
      </c>
      <c r="R47" s="72">
        <f>ROUND(Q47,0)</f>
        <v>479125</v>
      </c>
      <c r="S47" s="57"/>
      <c r="T47" s="8"/>
    </row>
    <row r="48" spans="1:30" ht="19.899999999999999" customHeight="1">
      <c r="A48" s="164" t="s">
        <v>511</v>
      </c>
      <c r="B48" s="51">
        <f>VLOOKUP(A48,Population_2020,2)</f>
        <v>37082</v>
      </c>
      <c r="C48" s="25">
        <f>ROUND(B48/$B$137,4)</f>
        <v>2E-3</v>
      </c>
      <c r="D48" s="25">
        <f>ROUND(B48/$B$136,4)</f>
        <v>1.6999999999999999E-3</v>
      </c>
      <c r="E48" s="51"/>
      <c r="F48" s="70">
        <v>1</v>
      </c>
      <c r="G48" s="52">
        <f>ROUND($G$12*C48,0)</f>
        <v>93443</v>
      </c>
      <c r="H48" s="43">
        <f>IF(G48&gt;H$11,(G48-H$11),0)</f>
        <v>0</v>
      </c>
      <c r="I48" s="25">
        <f>IF(H48&gt;0,ROUND(H48/$H$136,4),0)</f>
        <v>0</v>
      </c>
      <c r="J48" s="53">
        <f>ROUND($J$12*D48,0)</f>
        <v>159882</v>
      </c>
      <c r="K48" s="43">
        <f>IF(J48&gt;K$11,(J48-K$11),0)</f>
        <v>0</v>
      </c>
      <c r="L48" s="25">
        <f>IF(K48&gt;0,ROUND(K48/$K$136,4),0)</f>
        <v>0</v>
      </c>
      <c r="M48" s="37"/>
      <c r="N48" s="68" t="s">
        <v>12</v>
      </c>
      <c r="O48" s="37"/>
      <c r="P48" s="71" t="s">
        <v>12</v>
      </c>
      <c r="Q48" s="72">
        <f>ROUND((I48*$Q$153)+(L48*$Q$159)+$K$4,0)</f>
        <v>350000</v>
      </c>
      <c r="R48" s="72">
        <f>ROUND(Q48,0)</f>
        <v>350000</v>
      </c>
      <c r="S48" s="57"/>
      <c r="T48" s="8"/>
    </row>
    <row r="49" spans="1:20" ht="19.899999999999999" customHeight="1">
      <c r="A49" s="24" t="s">
        <v>13</v>
      </c>
      <c r="B49" s="51">
        <f>VLOOKUP(A49,Population_2020,2)</f>
        <v>16663</v>
      </c>
      <c r="C49" s="25">
        <f>ROUND(B49/$B$137,4)</f>
        <v>8.9999999999999998E-4</v>
      </c>
      <c r="D49" s="25">
        <f>ROUND(B49/$B$136,4)</f>
        <v>8.0000000000000004E-4</v>
      </c>
      <c r="E49" s="51"/>
      <c r="F49" s="70">
        <v>1</v>
      </c>
      <c r="G49" s="52">
        <f>ROUND($G$12*C49,0)</f>
        <v>42049</v>
      </c>
      <c r="H49" s="43">
        <f>IF(G49&gt;H$11,(G49-H$11),0)</f>
        <v>0</v>
      </c>
      <c r="I49" s="25">
        <f>IF(H49&gt;0,ROUND(H49/$H$136,4),0)</f>
        <v>0</v>
      </c>
      <c r="J49" s="53">
        <f>ROUND($J$12*D49,0)</f>
        <v>75239</v>
      </c>
      <c r="K49" s="43">
        <f>IF(J49&gt;K$11,(J49-K$11),0)</f>
        <v>0</v>
      </c>
      <c r="L49" s="25">
        <f>IF(K49&gt;0,ROUND(K49/$K$136,4),0)</f>
        <v>0</v>
      </c>
      <c r="M49" s="37"/>
      <c r="N49" s="68" t="s">
        <v>13</v>
      </c>
      <c r="O49" s="37"/>
      <c r="P49" s="71" t="s">
        <v>13</v>
      </c>
      <c r="Q49" s="72">
        <f>ROUND((I49*$Q$153)+(L49*$Q$159)+$K$4,0)</f>
        <v>350000</v>
      </c>
      <c r="R49" s="72">
        <f>ROUND(Q49,0)</f>
        <v>350000</v>
      </c>
      <c r="S49" s="57"/>
      <c r="T49" s="8"/>
    </row>
    <row r="50" spans="1:20" ht="19.899999999999999" customHeight="1">
      <c r="A50" s="24" t="s">
        <v>14</v>
      </c>
      <c r="B50" s="51">
        <f>VLOOKUP(A50,Population_2020,2)</f>
        <v>982080</v>
      </c>
      <c r="C50" s="25">
        <f>ROUND(B50/$B$137,4)+C147</f>
        <v>5.2299999999999999E-2</v>
      </c>
      <c r="D50" s="25">
        <f>ROUND(B50/$B$136,4)+D147</f>
        <v>4.5499999999999999E-2</v>
      </c>
      <c r="E50" s="51"/>
      <c r="F50" s="70">
        <v>1</v>
      </c>
      <c r="G50" s="52">
        <f>ROUND($G$12*C50,0)+G147</f>
        <v>2443532</v>
      </c>
      <c r="H50" s="43">
        <f>IF(G50&gt;H$11,(G50-H$11),0)</f>
        <v>2327367</v>
      </c>
      <c r="I50" s="25">
        <f>IF(H50&gt;0,ROUND(H50/$H$136,4),0)+I147</f>
        <v>5.7599999999999998E-2</v>
      </c>
      <c r="J50" s="53">
        <f>ROUND($J$12*D50,0)+J147</f>
        <v>4279193</v>
      </c>
      <c r="K50" s="43">
        <f>IF(J50&gt;K$11,(J50-K$11),0)</f>
        <v>4045358</v>
      </c>
      <c r="L50" s="25">
        <f>IF(K50&gt;0,ROUND(K50/$K$136,4),0)+L147</f>
        <v>4.9599999999999998E-2</v>
      </c>
      <c r="M50" s="37"/>
      <c r="N50" s="68" t="s">
        <v>14</v>
      </c>
      <c r="O50" s="37"/>
      <c r="P50" s="71" t="s">
        <v>14</v>
      </c>
      <c r="Q50" s="72">
        <f>ROUND((I50*$Q$153)+(L50*$Q$159)+$K$4,0)+Q147</f>
        <v>6487253</v>
      </c>
      <c r="R50" s="72">
        <f>ROUND(Q50,0)</f>
        <v>6487253</v>
      </c>
      <c r="S50" s="57"/>
      <c r="T50" s="8"/>
    </row>
    <row r="51" spans="1:20" ht="19.899999999999999" customHeight="1">
      <c r="A51" s="24" t="s">
        <v>15</v>
      </c>
      <c r="B51" s="51">
        <f>VLOOKUP(A51,Population_2020,2)</f>
        <v>323714</v>
      </c>
      <c r="C51" s="25">
        <f>ROUND(B51/$B$137,4)</f>
        <v>1.7299999999999999E-2</v>
      </c>
      <c r="D51" s="25">
        <f>ROUND(B51/$B$136,4)</f>
        <v>1.4999999999999999E-2</v>
      </c>
      <c r="E51" s="51"/>
      <c r="F51" s="70">
        <f>ROUND((B51-E52)/B51,4)</f>
        <v>0.8286</v>
      </c>
      <c r="G51" s="52">
        <f>ROUND($G$12*C51,0)</f>
        <v>808281</v>
      </c>
      <c r="H51" s="43">
        <f>IF(G51&gt;H$11,(G51-H$11),0)</f>
        <v>692116</v>
      </c>
      <c r="I51" s="25">
        <f>IF(H51&gt;0,ROUND(H51/$H$136,4),0)</f>
        <v>1.7100000000000001E-2</v>
      </c>
      <c r="J51" s="53">
        <f>ROUND($J$12*D51,0)</f>
        <v>1410723</v>
      </c>
      <c r="K51" s="43">
        <f>IF(J51&gt;K$11,(J51-K$11),0)</f>
        <v>1176888</v>
      </c>
      <c r="L51" s="25">
        <f>IF(K51&gt;0,ROUND(K51/$K$136,4),0)</f>
        <v>1.44E-2</v>
      </c>
      <c r="M51" s="37"/>
      <c r="N51" s="38" t="s">
        <v>15</v>
      </c>
      <c r="O51" s="37"/>
      <c r="P51" s="71" t="s">
        <v>15</v>
      </c>
      <c r="Q51" s="72">
        <f>ROUND((I51*$Q$153)+(L51*$Q$159)+$K$4,0)</f>
        <v>2146523</v>
      </c>
      <c r="R51" s="72">
        <f>ROUND(Q51-R52,0)</f>
        <v>1778609</v>
      </c>
      <c r="S51" s="57"/>
      <c r="T51" s="8"/>
    </row>
    <row r="52" spans="1:20" ht="19.899999999999999" customHeight="1">
      <c r="A52" s="63" t="s">
        <v>138</v>
      </c>
      <c r="B52" s="64"/>
      <c r="E52" s="64">
        <f>VLOOKUP($A52,Population_2020,2,FALSE)</f>
        <v>55498</v>
      </c>
      <c r="F52" s="32">
        <f>ROUND(E52/B51,4)</f>
        <v>0.1714</v>
      </c>
      <c r="G52" s="66"/>
      <c r="H52" s="14"/>
      <c r="J52" s="67"/>
      <c r="K52" s="14"/>
      <c r="M52" s="10"/>
      <c r="N52" s="68" t="s">
        <v>15</v>
      </c>
      <c r="O52" s="10"/>
      <c r="P52" s="93" t="s">
        <v>138</v>
      </c>
      <c r="Q52" s="94"/>
      <c r="R52" s="94">
        <f>ROUND(Q51*F52,0)</f>
        <v>367914</v>
      </c>
      <c r="S52" s="95"/>
      <c r="T52" s="8"/>
    </row>
    <row r="53" spans="1:20" ht="19.899999999999999" customHeight="1">
      <c r="A53" s="24" t="s">
        <v>16</v>
      </c>
      <c r="B53" s="51">
        <f>VLOOKUP(A53,Population_2020,2)</f>
        <v>114173</v>
      </c>
      <c r="C53" s="25">
        <f>ROUND(B53/$B$137,4)</f>
        <v>6.1000000000000004E-3</v>
      </c>
      <c r="D53" s="25">
        <f>ROUND(B53/$B$136,4)</f>
        <v>5.3E-3</v>
      </c>
      <c r="E53" s="51"/>
      <c r="F53" s="70">
        <f>ROUND((B53-E54)/B53,4)</f>
        <v>0.2167</v>
      </c>
      <c r="G53" s="52">
        <f t="shared" ref="G53:G64" si="3">ROUND($G$12*C53,0)</f>
        <v>285001</v>
      </c>
      <c r="H53" s="43">
        <f t="shared" ref="H53:H65" si="4">IF(G53&gt;H$11,(G53-H$11),0)</f>
        <v>168836</v>
      </c>
      <c r="I53" s="25">
        <f>IF(H53&gt;0,ROUND(H53/$H$136,4),0)</f>
        <v>4.1999999999999997E-3</v>
      </c>
      <c r="J53" s="53">
        <f t="shared" ref="J53:J64" si="5">ROUND($J$12*D53,0)</f>
        <v>498455</v>
      </c>
      <c r="K53" s="43">
        <f t="shared" ref="K53:K65" si="6">IF(J53&gt;K$11,(J53-K$11),0)</f>
        <v>264620</v>
      </c>
      <c r="L53" s="25">
        <f>IF(K53&gt;0,ROUND(K53/$K$136,4),0)</f>
        <v>3.2000000000000002E-3</v>
      </c>
      <c r="M53" s="37"/>
      <c r="N53" s="38" t="s">
        <v>16</v>
      </c>
      <c r="O53" s="37"/>
      <c r="P53" s="71" t="s">
        <v>16</v>
      </c>
      <c r="Q53" s="72">
        <f>ROUND((I53*$Q$153)+(L53*$Q$159)+$K$4,0)</f>
        <v>764849</v>
      </c>
      <c r="R53" s="72">
        <f>ROUND(Q53-R54,0)</f>
        <v>165743</v>
      </c>
      <c r="S53" s="96"/>
      <c r="T53" s="8"/>
    </row>
    <row r="54" spans="1:20" ht="19.899999999999999" customHeight="1">
      <c r="A54" s="97" t="s">
        <v>139</v>
      </c>
      <c r="B54" s="98"/>
      <c r="C54" s="32"/>
      <c r="D54" s="32"/>
      <c r="E54" s="98">
        <f>VLOOKUP($A54,Population_2020,2,FALSE)</f>
        <v>89437</v>
      </c>
      <c r="F54" s="32">
        <f>ROUND(E54/B53,4)</f>
        <v>0.7833</v>
      </c>
      <c r="G54" s="99"/>
      <c r="H54" s="100"/>
      <c r="I54" s="32"/>
      <c r="J54" s="101"/>
      <c r="K54" s="100"/>
      <c r="L54" s="32"/>
      <c r="M54" s="102"/>
      <c r="N54" s="103" t="s">
        <v>16</v>
      </c>
      <c r="O54" s="102"/>
      <c r="P54" s="93" t="s">
        <v>139</v>
      </c>
      <c r="Q54" s="94"/>
      <c r="R54" s="94">
        <f>ROUND(Q53*F54,0)</f>
        <v>599106</v>
      </c>
      <c r="S54" s="104"/>
      <c r="T54" s="8"/>
    </row>
    <row r="55" spans="1:20" ht="19.899999999999999" customHeight="1">
      <c r="A55" s="105" t="s">
        <v>17</v>
      </c>
      <c r="B55" s="51">
        <f t="shared" ref="B55:B65" si="7">VLOOKUP(A55,Population_2020,2)</f>
        <v>11864</v>
      </c>
      <c r="C55" s="65">
        <f t="shared" ref="C55:C64" si="8">ROUND(B55/$B$137,4)</f>
        <v>5.9999999999999995E-4</v>
      </c>
      <c r="D55" s="65">
        <f t="shared" ref="D55:D64" si="9">ROUND(B55/$B$136,4)</f>
        <v>5.0000000000000001E-4</v>
      </c>
      <c r="E55" s="51"/>
      <c r="F55" s="106">
        <v>1</v>
      </c>
      <c r="G55" s="66">
        <f t="shared" si="3"/>
        <v>28033</v>
      </c>
      <c r="H55" s="107">
        <f t="shared" si="4"/>
        <v>0</v>
      </c>
      <c r="I55" s="65">
        <f t="shared" ref="I55:I64" si="10">IF(H55&gt;0,ROUND(H55/$H$136,4),0)</f>
        <v>0</v>
      </c>
      <c r="J55" s="67">
        <f t="shared" si="5"/>
        <v>47024</v>
      </c>
      <c r="K55" s="107">
        <f t="shared" si="6"/>
        <v>0</v>
      </c>
      <c r="L55" s="65">
        <f t="shared" ref="L55:L64" si="11">IF(K55&gt;0,ROUND(K55/$K$136,4),0)</f>
        <v>0</v>
      </c>
      <c r="M55" s="39"/>
      <c r="N55" s="68" t="s">
        <v>17</v>
      </c>
      <c r="O55" s="39"/>
      <c r="P55" s="55" t="s">
        <v>17</v>
      </c>
      <c r="Q55" s="56">
        <f t="shared" ref="Q55:Q64" si="12">ROUND((I55*$Q$153)+(L55*$Q$159)+$K$4,0)</f>
        <v>350000</v>
      </c>
      <c r="R55" s="56">
        <f t="shared" ref="R55:R64" si="13">ROUND(Q55,0)</f>
        <v>350000</v>
      </c>
      <c r="S55" s="108"/>
      <c r="T55" s="8"/>
    </row>
    <row r="56" spans="1:20" ht="19.899999999999999" customHeight="1">
      <c r="A56" s="24" t="s">
        <v>18</v>
      </c>
      <c r="B56" s="51">
        <f t="shared" si="7"/>
        <v>46226</v>
      </c>
      <c r="C56" s="25">
        <f t="shared" si="8"/>
        <v>2.5000000000000001E-3</v>
      </c>
      <c r="D56" s="25">
        <f t="shared" si="9"/>
        <v>2.0999999999999999E-3</v>
      </c>
      <c r="E56" s="51"/>
      <c r="F56" s="70">
        <v>1</v>
      </c>
      <c r="G56" s="52">
        <f t="shared" si="3"/>
        <v>116804</v>
      </c>
      <c r="H56" s="43">
        <f t="shared" si="4"/>
        <v>639</v>
      </c>
      <c r="I56" s="25">
        <f t="shared" si="10"/>
        <v>0</v>
      </c>
      <c r="J56" s="53">
        <f t="shared" si="5"/>
        <v>197501</v>
      </c>
      <c r="K56" s="43">
        <f t="shared" si="6"/>
        <v>0</v>
      </c>
      <c r="L56" s="25">
        <f t="shared" si="11"/>
        <v>0</v>
      </c>
      <c r="M56" s="37"/>
      <c r="N56" s="68" t="s">
        <v>18</v>
      </c>
      <c r="O56" s="37"/>
      <c r="P56" s="71" t="s">
        <v>18</v>
      </c>
      <c r="Q56" s="72">
        <f t="shared" si="12"/>
        <v>350000</v>
      </c>
      <c r="R56" s="72">
        <f t="shared" si="13"/>
        <v>350000</v>
      </c>
      <c r="S56" s="57"/>
      <c r="T56" s="8"/>
    </row>
    <row r="57" spans="1:20" ht="19.899999999999999" customHeight="1">
      <c r="A57" s="24" t="s">
        <v>19</v>
      </c>
      <c r="B57" s="51">
        <f t="shared" si="7"/>
        <v>18269</v>
      </c>
      <c r="C57" s="25">
        <f t="shared" si="8"/>
        <v>1E-3</v>
      </c>
      <c r="D57" s="25">
        <f t="shared" si="9"/>
        <v>8.0000000000000004E-4</v>
      </c>
      <c r="E57" s="51"/>
      <c r="F57" s="70">
        <v>1</v>
      </c>
      <c r="G57" s="52">
        <f t="shared" si="3"/>
        <v>46721</v>
      </c>
      <c r="H57" s="43">
        <f t="shared" si="4"/>
        <v>0</v>
      </c>
      <c r="I57" s="25">
        <f t="shared" si="10"/>
        <v>0</v>
      </c>
      <c r="J57" s="53">
        <f t="shared" si="5"/>
        <v>75239</v>
      </c>
      <c r="K57" s="43">
        <f t="shared" si="6"/>
        <v>0</v>
      </c>
      <c r="L57" s="25">
        <f t="shared" si="11"/>
        <v>0</v>
      </c>
      <c r="M57" s="37"/>
      <c r="N57" s="68" t="s">
        <v>19</v>
      </c>
      <c r="O57" s="37"/>
      <c r="P57" s="71" t="s">
        <v>19</v>
      </c>
      <c r="Q57" s="72">
        <f t="shared" si="12"/>
        <v>350000</v>
      </c>
      <c r="R57" s="72">
        <f t="shared" si="13"/>
        <v>350000</v>
      </c>
      <c r="S57" s="57"/>
      <c r="T57" s="8"/>
    </row>
    <row r="58" spans="1:20" ht="19.899999999999999" customHeight="1">
      <c r="A58" s="24" t="s">
        <v>20</v>
      </c>
      <c r="B58" s="51">
        <f t="shared" si="7"/>
        <v>13609</v>
      </c>
      <c r="C58" s="25">
        <f t="shared" si="8"/>
        <v>6.9999999999999999E-4</v>
      </c>
      <c r="D58" s="25">
        <f t="shared" si="9"/>
        <v>5.9999999999999995E-4</v>
      </c>
      <c r="E58" s="51"/>
      <c r="F58" s="70">
        <v>1</v>
      </c>
      <c r="G58" s="52">
        <f t="shared" si="3"/>
        <v>32705</v>
      </c>
      <c r="H58" s="43">
        <f t="shared" si="4"/>
        <v>0</v>
      </c>
      <c r="I58" s="25">
        <f t="shared" si="10"/>
        <v>0</v>
      </c>
      <c r="J58" s="53">
        <f t="shared" si="5"/>
        <v>56429</v>
      </c>
      <c r="K58" s="43">
        <f t="shared" si="6"/>
        <v>0</v>
      </c>
      <c r="L58" s="25">
        <f t="shared" si="11"/>
        <v>0</v>
      </c>
      <c r="M58" s="37"/>
      <c r="N58" s="68" t="s">
        <v>20</v>
      </c>
      <c r="O58" s="37"/>
      <c r="P58" s="71" t="s">
        <v>20</v>
      </c>
      <c r="Q58" s="72">
        <f t="shared" si="12"/>
        <v>350000</v>
      </c>
      <c r="R58" s="72">
        <f t="shared" si="13"/>
        <v>350000</v>
      </c>
      <c r="S58" s="57"/>
      <c r="T58" s="8"/>
    </row>
    <row r="59" spans="1:20" ht="19.899999999999999" customHeight="1">
      <c r="A59" s="24" t="s">
        <v>21</v>
      </c>
      <c r="B59" s="51">
        <f t="shared" si="7"/>
        <v>14724</v>
      </c>
      <c r="C59" s="25">
        <f t="shared" si="8"/>
        <v>8.0000000000000004E-4</v>
      </c>
      <c r="D59" s="25">
        <f t="shared" si="9"/>
        <v>6.9999999999999999E-4</v>
      </c>
      <c r="E59" s="51"/>
      <c r="F59" s="70">
        <v>1</v>
      </c>
      <c r="G59" s="52">
        <f t="shared" si="3"/>
        <v>37377</v>
      </c>
      <c r="H59" s="43">
        <f t="shared" si="4"/>
        <v>0</v>
      </c>
      <c r="I59" s="25">
        <f t="shared" si="10"/>
        <v>0</v>
      </c>
      <c r="J59" s="53">
        <f t="shared" si="5"/>
        <v>65834</v>
      </c>
      <c r="K59" s="43">
        <f t="shared" si="6"/>
        <v>0</v>
      </c>
      <c r="L59" s="25">
        <f t="shared" si="11"/>
        <v>0</v>
      </c>
      <c r="M59" s="37"/>
      <c r="N59" s="68" t="s">
        <v>21</v>
      </c>
      <c r="O59" s="37"/>
      <c r="P59" s="71" t="s">
        <v>21</v>
      </c>
      <c r="Q59" s="72">
        <f t="shared" si="12"/>
        <v>350000</v>
      </c>
      <c r="R59" s="72">
        <f t="shared" si="13"/>
        <v>350000</v>
      </c>
      <c r="S59" s="57"/>
      <c r="T59" s="8"/>
    </row>
    <row r="60" spans="1:20" ht="19.899999999999999" customHeight="1">
      <c r="A60" s="24" t="s">
        <v>22</v>
      </c>
      <c r="B60" s="51">
        <f t="shared" si="7"/>
        <v>14570</v>
      </c>
      <c r="C60" s="25">
        <f t="shared" si="8"/>
        <v>8.0000000000000004E-4</v>
      </c>
      <c r="D60" s="25">
        <f t="shared" si="9"/>
        <v>6.9999999999999999E-4</v>
      </c>
      <c r="E60" s="51"/>
      <c r="F60" s="70">
        <v>1</v>
      </c>
      <c r="G60" s="52">
        <f t="shared" si="3"/>
        <v>37377</v>
      </c>
      <c r="H60" s="43">
        <f t="shared" si="4"/>
        <v>0</v>
      </c>
      <c r="I60" s="25">
        <f t="shared" si="10"/>
        <v>0</v>
      </c>
      <c r="J60" s="53">
        <f t="shared" si="5"/>
        <v>65834</v>
      </c>
      <c r="K60" s="43">
        <f t="shared" si="6"/>
        <v>0</v>
      </c>
      <c r="L60" s="25">
        <f t="shared" si="11"/>
        <v>0</v>
      </c>
      <c r="M60" s="37"/>
      <c r="N60" s="68" t="s">
        <v>22</v>
      </c>
      <c r="O60" s="37"/>
      <c r="P60" s="71" t="s">
        <v>22</v>
      </c>
      <c r="Q60" s="72">
        <f t="shared" si="12"/>
        <v>350000</v>
      </c>
      <c r="R60" s="72">
        <f t="shared" si="13"/>
        <v>350000</v>
      </c>
      <c r="S60" s="57"/>
      <c r="T60" s="8"/>
    </row>
    <row r="61" spans="1:20" ht="19.899999999999999" customHeight="1">
      <c r="A61" s="24" t="s">
        <v>23</v>
      </c>
      <c r="B61" s="51">
        <f t="shared" si="7"/>
        <v>27443</v>
      </c>
      <c r="C61" s="25">
        <f t="shared" si="8"/>
        <v>1.5E-3</v>
      </c>
      <c r="D61" s="25">
        <f t="shared" si="9"/>
        <v>1.2999999999999999E-3</v>
      </c>
      <c r="E61" s="51"/>
      <c r="F61" s="70">
        <v>1</v>
      </c>
      <c r="G61" s="52">
        <f t="shared" si="3"/>
        <v>70082</v>
      </c>
      <c r="H61" s="43">
        <f t="shared" si="4"/>
        <v>0</v>
      </c>
      <c r="I61" s="25">
        <f t="shared" si="10"/>
        <v>0</v>
      </c>
      <c r="J61" s="53">
        <f t="shared" si="5"/>
        <v>122263</v>
      </c>
      <c r="K61" s="43">
        <f t="shared" si="6"/>
        <v>0</v>
      </c>
      <c r="L61" s="25">
        <f t="shared" si="11"/>
        <v>0</v>
      </c>
      <c r="M61" s="37"/>
      <c r="N61" s="68" t="s">
        <v>23</v>
      </c>
      <c r="O61" s="37"/>
      <c r="P61" s="71" t="s">
        <v>23</v>
      </c>
      <c r="Q61" s="72">
        <f t="shared" si="12"/>
        <v>350000</v>
      </c>
      <c r="R61" s="72">
        <f t="shared" si="13"/>
        <v>350000</v>
      </c>
      <c r="S61" s="57"/>
      <c r="T61" s="8"/>
    </row>
    <row r="62" spans="1:20" ht="19.899999999999999" customHeight="1">
      <c r="A62" s="24" t="s">
        <v>24</v>
      </c>
      <c r="B62" s="51">
        <f t="shared" si="7"/>
        <v>40953</v>
      </c>
      <c r="C62" s="25">
        <f t="shared" si="8"/>
        <v>2.2000000000000001E-3</v>
      </c>
      <c r="D62" s="25">
        <f t="shared" si="9"/>
        <v>1.9E-3</v>
      </c>
      <c r="E62" s="51"/>
      <c r="F62" s="70">
        <v>1</v>
      </c>
      <c r="G62" s="52">
        <f t="shared" si="3"/>
        <v>102787</v>
      </c>
      <c r="H62" s="43">
        <f t="shared" si="4"/>
        <v>0</v>
      </c>
      <c r="I62" s="25">
        <f t="shared" si="10"/>
        <v>0</v>
      </c>
      <c r="J62" s="53">
        <f t="shared" si="5"/>
        <v>178692</v>
      </c>
      <c r="K62" s="43">
        <f t="shared" si="6"/>
        <v>0</v>
      </c>
      <c r="L62" s="25">
        <f t="shared" si="11"/>
        <v>0</v>
      </c>
      <c r="M62" s="37"/>
      <c r="N62" s="68" t="s">
        <v>24</v>
      </c>
      <c r="O62" s="37"/>
      <c r="P62" s="71" t="s">
        <v>24</v>
      </c>
      <c r="Q62" s="72">
        <f t="shared" si="12"/>
        <v>350000</v>
      </c>
      <c r="R62" s="72">
        <f t="shared" si="13"/>
        <v>350000</v>
      </c>
      <c r="S62" s="57"/>
      <c r="T62" s="8"/>
    </row>
    <row r="63" spans="1:20" ht="19.899999999999999" customHeight="1">
      <c r="A63" s="24" t="s">
        <v>25</v>
      </c>
      <c r="B63" s="51">
        <f t="shared" si="7"/>
        <v>192186</v>
      </c>
      <c r="C63" s="25">
        <f t="shared" si="8"/>
        <v>1.0200000000000001E-2</v>
      </c>
      <c r="D63" s="25">
        <f t="shared" si="9"/>
        <v>8.8999999999999999E-3</v>
      </c>
      <c r="E63" s="51"/>
      <c r="F63" s="70">
        <v>1</v>
      </c>
      <c r="G63" s="52">
        <f t="shared" si="3"/>
        <v>476559</v>
      </c>
      <c r="H63" s="43">
        <f t="shared" si="4"/>
        <v>360394</v>
      </c>
      <c r="I63" s="25">
        <f t="shared" si="10"/>
        <v>8.8999999999999999E-3</v>
      </c>
      <c r="J63" s="53">
        <f t="shared" si="5"/>
        <v>837029</v>
      </c>
      <c r="K63" s="43">
        <f t="shared" si="6"/>
        <v>603194</v>
      </c>
      <c r="L63" s="25">
        <f t="shared" si="11"/>
        <v>7.4000000000000003E-3</v>
      </c>
      <c r="M63" s="37"/>
      <c r="N63" s="68" t="s">
        <v>25</v>
      </c>
      <c r="O63" s="37"/>
      <c r="P63" s="71" t="s">
        <v>25</v>
      </c>
      <c r="Q63" s="72">
        <f t="shared" si="12"/>
        <v>1277607</v>
      </c>
      <c r="R63" s="72">
        <f t="shared" si="13"/>
        <v>1277607</v>
      </c>
      <c r="S63" s="57"/>
      <c r="T63" s="8"/>
    </row>
    <row r="64" spans="1:20" ht="19.899999999999999" customHeight="1">
      <c r="A64" s="24" t="s">
        <v>26</v>
      </c>
      <c r="B64" s="51">
        <f t="shared" si="7"/>
        <v>104834</v>
      </c>
      <c r="C64" s="25">
        <f t="shared" si="8"/>
        <v>5.5999999999999999E-3</v>
      </c>
      <c r="D64" s="25">
        <f t="shared" si="9"/>
        <v>4.8999999999999998E-3</v>
      </c>
      <c r="E64" s="51"/>
      <c r="F64" s="70">
        <v>1</v>
      </c>
      <c r="G64" s="52">
        <f t="shared" si="3"/>
        <v>261640</v>
      </c>
      <c r="H64" s="43">
        <f t="shared" si="4"/>
        <v>145475</v>
      </c>
      <c r="I64" s="25">
        <f t="shared" si="10"/>
        <v>3.5999999999999999E-3</v>
      </c>
      <c r="J64" s="53">
        <f t="shared" si="5"/>
        <v>460836</v>
      </c>
      <c r="K64" s="43">
        <f t="shared" si="6"/>
        <v>227001</v>
      </c>
      <c r="L64" s="25">
        <f t="shared" si="11"/>
        <v>2.8E-3</v>
      </c>
      <c r="M64" s="37"/>
      <c r="N64" s="68" t="s">
        <v>26</v>
      </c>
      <c r="O64" s="37"/>
      <c r="P64" s="71" t="s">
        <v>26</v>
      </c>
      <c r="Q64" s="72">
        <f t="shared" si="12"/>
        <v>710064</v>
      </c>
      <c r="R64" s="72">
        <f t="shared" si="13"/>
        <v>710064</v>
      </c>
      <c r="S64" s="57"/>
      <c r="T64" s="8"/>
    </row>
    <row r="65" spans="1:20" ht="19.899999999999999" customHeight="1">
      <c r="A65" s="24" t="s">
        <v>27</v>
      </c>
      <c r="B65" s="51">
        <f t="shared" si="7"/>
        <v>1478759</v>
      </c>
      <c r="C65" s="25">
        <f>ROUND(B65/$B$137,4)+C144</f>
        <v>7.8799999999999995E-2</v>
      </c>
      <c r="D65" s="25">
        <f>ROUND(B65/$B$136,4)+D144</f>
        <v>6.8500000000000005E-2</v>
      </c>
      <c r="E65" s="51"/>
      <c r="F65" s="70">
        <f>ROUND((B65-E66)/B65,4)</f>
        <v>0.73429999999999995</v>
      </c>
      <c r="G65" s="52">
        <f>ROUND($G$12*C65,0)+G144</f>
        <v>3681650</v>
      </c>
      <c r="H65" s="43">
        <f t="shared" si="4"/>
        <v>3565485</v>
      </c>
      <c r="I65" s="25">
        <f>IF(H65&gt;0,ROUND(H65/$H$136,4),0)+I144</f>
        <v>8.8200000000000001E-2</v>
      </c>
      <c r="J65" s="53">
        <f>ROUND($J$12*D65,0)+J144</f>
        <v>6442302</v>
      </c>
      <c r="K65" s="43">
        <f t="shared" si="6"/>
        <v>6208467</v>
      </c>
      <c r="L65" s="25">
        <f>IF(K65&gt;0,ROUND(K65/$K$136,4),0)+L144</f>
        <v>7.5999999999999998E-2</v>
      </c>
      <c r="M65" s="37"/>
      <c r="N65" s="38" t="s">
        <v>27</v>
      </c>
      <c r="O65" s="37"/>
      <c r="P65" s="71" t="s">
        <v>27</v>
      </c>
      <c r="Q65" s="72">
        <f>ROUND((I65*$Q$153)+(L65*$Q$159)+$K$4,0)+Q144</f>
        <v>9751588</v>
      </c>
      <c r="R65" s="72">
        <f>ROUND(Q65-R66,0)</f>
        <v>7160591</v>
      </c>
      <c r="S65" s="57"/>
      <c r="T65" s="8"/>
    </row>
    <row r="66" spans="1:20" ht="19.899999999999999" customHeight="1">
      <c r="A66" s="63" t="s">
        <v>140</v>
      </c>
      <c r="B66" s="64"/>
      <c r="E66" s="64">
        <f>VLOOKUP($A66,Population_2020,2,FALSE)</f>
        <v>392953</v>
      </c>
      <c r="F66" s="32">
        <f>ROUND(E66/B65,4)</f>
        <v>0.26569999999999999</v>
      </c>
      <c r="G66" s="66"/>
      <c r="H66" s="14"/>
      <c r="J66" s="67"/>
      <c r="K66" s="14"/>
      <c r="M66" s="10"/>
      <c r="N66" s="68" t="s">
        <v>27</v>
      </c>
      <c r="O66" s="10"/>
      <c r="P66" s="69" t="s">
        <v>140</v>
      </c>
      <c r="Q66" s="56"/>
      <c r="R66" s="56">
        <f>ROUND(Q65*F66,0)</f>
        <v>2590997</v>
      </c>
      <c r="S66" s="12"/>
      <c r="T66" s="8"/>
    </row>
    <row r="67" spans="1:20" ht="19.899999999999999" customHeight="1">
      <c r="A67" s="24" t="s">
        <v>28</v>
      </c>
      <c r="B67" s="51">
        <f t="shared" ref="B67:B73" si="14">VLOOKUP(A67,Population_2020,2)</f>
        <v>20001</v>
      </c>
      <c r="C67" s="25">
        <f t="shared" ref="C67:C73" si="15">ROUND(B67/$B$137,4)</f>
        <v>1.1000000000000001E-3</v>
      </c>
      <c r="D67" s="25">
        <f t="shared" ref="D67:D73" si="16">ROUND(B67/$B$136,4)</f>
        <v>8.9999999999999998E-4</v>
      </c>
      <c r="E67" s="51"/>
      <c r="F67" s="70">
        <v>1</v>
      </c>
      <c r="G67" s="52">
        <f t="shared" ref="G67:G73" si="17">ROUND($G$12*C67,0)</f>
        <v>51394</v>
      </c>
      <c r="H67" s="43">
        <f t="shared" ref="H67:H73" si="18">IF(G67&gt;H$11,(G67-H$11),0)</f>
        <v>0</v>
      </c>
      <c r="I67" s="25">
        <f t="shared" ref="I67:I73" si="19">IF(H67&gt;0,ROUND(H67/$H$136,4),0)</f>
        <v>0</v>
      </c>
      <c r="J67" s="53">
        <f t="shared" ref="J67:J73" si="20">ROUND($J$12*D67,0)</f>
        <v>84643</v>
      </c>
      <c r="K67" s="43">
        <f t="shared" ref="K67:K73" si="21">IF(J67&gt;K$11,(J67-K$11),0)</f>
        <v>0</v>
      </c>
      <c r="L67" s="25">
        <f t="shared" ref="L67:L73" si="22">IF(K67&gt;0,ROUND(K67/$K$136,4),0)</f>
        <v>0</v>
      </c>
      <c r="M67" s="37"/>
      <c r="N67" s="68" t="s">
        <v>28</v>
      </c>
      <c r="O67" s="37"/>
      <c r="P67" s="71" t="s">
        <v>28</v>
      </c>
      <c r="Q67" s="72">
        <f t="shared" ref="Q67:Q73" si="23">ROUND((I67*$Q$153)+(L67*$Q$159)+$K$4,0)</f>
        <v>350000</v>
      </c>
      <c r="R67" s="72">
        <f t="shared" ref="R67:R72" si="24">ROUND(Q67,0)</f>
        <v>350000</v>
      </c>
      <c r="S67" s="57"/>
      <c r="T67" s="8"/>
    </row>
    <row r="68" spans="1:20" ht="19.899999999999999" customHeight="1">
      <c r="A68" s="24" t="s">
        <v>29</v>
      </c>
      <c r="B68" s="51">
        <f t="shared" si="14"/>
        <v>158834</v>
      </c>
      <c r="C68" s="25">
        <f t="shared" si="15"/>
        <v>8.5000000000000006E-3</v>
      </c>
      <c r="D68" s="25">
        <f t="shared" si="16"/>
        <v>7.4000000000000003E-3</v>
      </c>
      <c r="E68" s="51"/>
      <c r="F68" s="70">
        <v>1</v>
      </c>
      <c r="G68" s="52">
        <f t="shared" si="17"/>
        <v>397132</v>
      </c>
      <c r="H68" s="43">
        <f t="shared" si="18"/>
        <v>280967</v>
      </c>
      <c r="I68" s="25">
        <f t="shared" si="19"/>
        <v>6.8999999999999999E-3</v>
      </c>
      <c r="J68" s="53">
        <f t="shared" si="20"/>
        <v>695957</v>
      </c>
      <c r="K68" s="43">
        <f t="shared" si="21"/>
        <v>462122</v>
      </c>
      <c r="L68" s="25">
        <f t="shared" si="22"/>
        <v>5.7000000000000002E-3</v>
      </c>
      <c r="M68" s="37"/>
      <c r="N68" s="68" t="s">
        <v>29</v>
      </c>
      <c r="O68" s="37"/>
      <c r="P68" s="71" t="s">
        <v>29</v>
      </c>
      <c r="Q68" s="72">
        <f t="shared" si="23"/>
        <v>1066250</v>
      </c>
      <c r="R68" s="72">
        <f t="shared" si="24"/>
        <v>1066250</v>
      </c>
      <c r="S68" s="57"/>
      <c r="T68" s="8"/>
    </row>
    <row r="69" spans="1:20" ht="19.899999999999999" customHeight="1">
      <c r="A69" s="24" t="s">
        <v>30</v>
      </c>
      <c r="B69" s="51">
        <f t="shared" si="14"/>
        <v>46587</v>
      </c>
      <c r="C69" s="25">
        <f t="shared" si="15"/>
        <v>2.5000000000000001E-3</v>
      </c>
      <c r="D69" s="25">
        <f t="shared" si="16"/>
        <v>2.2000000000000001E-3</v>
      </c>
      <c r="E69" s="51"/>
      <c r="F69" s="70">
        <v>1</v>
      </c>
      <c r="G69" s="52">
        <f t="shared" si="17"/>
        <v>116804</v>
      </c>
      <c r="H69" s="43">
        <f t="shared" si="18"/>
        <v>639</v>
      </c>
      <c r="I69" s="25">
        <f t="shared" si="19"/>
        <v>0</v>
      </c>
      <c r="J69" s="53">
        <f t="shared" si="20"/>
        <v>206906</v>
      </c>
      <c r="K69" s="43">
        <f t="shared" si="21"/>
        <v>0</v>
      </c>
      <c r="L69" s="25">
        <f t="shared" si="22"/>
        <v>0</v>
      </c>
      <c r="M69" s="37"/>
      <c r="N69" s="38" t="s">
        <v>30</v>
      </c>
      <c r="O69" s="37"/>
      <c r="P69" s="71" t="s">
        <v>30</v>
      </c>
      <c r="Q69" s="72">
        <f t="shared" si="23"/>
        <v>350000</v>
      </c>
      <c r="R69" s="72">
        <f t="shared" si="24"/>
        <v>350000</v>
      </c>
      <c r="S69" s="57"/>
      <c r="T69" s="8"/>
    </row>
    <row r="70" spans="1:20" ht="19.899999999999999" customHeight="1">
      <c r="A70" s="24" t="s">
        <v>31</v>
      </c>
      <c r="B70" s="51">
        <f t="shared" si="14"/>
        <v>14394</v>
      </c>
      <c r="C70" s="25">
        <f t="shared" si="15"/>
        <v>8.0000000000000004E-4</v>
      </c>
      <c r="D70" s="25">
        <f t="shared" si="16"/>
        <v>6.9999999999999999E-4</v>
      </c>
      <c r="E70" s="51"/>
      <c r="F70" s="70">
        <v>1</v>
      </c>
      <c r="G70" s="52">
        <f t="shared" si="17"/>
        <v>37377</v>
      </c>
      <c r="H70" s="43">
        <f t="shared" si="18"/>
        <v>0</v>
      </c>
      <c r="I70" s="25">
        <f t="shared" si="19"/>
        <v>0</v>
      </c>
      <c r="J70" s="53">
        <f t="shared" si="20"/>
        <v>65834</v>
      </c>
      <c r="K70" s="43">
        <f t="shared" si="21"/>
        <v>0</v>
      </c>
      <c r="L70" s="25">
        <f t="shared" si="22"/>
        <v>0</v>
      </c>
      <c r="M70" s="37"/>
      <c r="N70" s="68" t="s">
        <v>31</v>
      </c>
      <c r="O70" s="37"/>
      <c r="P70" s="71" t="s">
        <v>31</v>
      </c>
      <c r="Q70" s="72">
        <f t="shared" si="23"/>
        <v>350000</v>
      </c>
      <c r="R70" s="72">
        <f t="shared" si="24"/>
        <v>350000</v>
      </c>
      <c r="S70" s="57"/>
      <c r="T70" s="8"/>
    </row>
    <row r="71" spans="1:20" ht="19.899999999999999" customHeight="1">
      <c r="A71" s="24" t="s">
        <v>32</v>
      </c>
      <c r="B71" s="51">
        <f t="shared" si="14"/>
        <v>8690</v>
      </c>
      <c r="C71" s="25">
        <f t="shared" si="15"/>
        <v>5.0000000000000001E-4</v>
      </c>
      <c r="D71" s="25">
        <f t="shared" si="16"/>
        <v>4.0000000000000002E-4</v>
      </c>
      <c r="E71" s="51"/>
      <c r="F71" s="70">
        <v>1</v>
      </c>
      <c r="G71" s="52">
        <f t="shared" si="17"/>
        <v>23361</v>
      </c>
      <c r="H71" s="43">
        <f t="shared" si="18"/>
        <v>0</v>
      </c>
      <c r="I71" s="25">
        <f t="shared" si="19"/>
        <v>0</v>
      </c>
      <c r="J71" s="53">
        <f t="shared" si="20"/>
        <v>37619</v>
      </c>
      <c r="K71" s="43">
        <f t="shared" si="21"/>
        <v>0</v>
      </c>
      <c r="L71" s="25">
        <f t="shared" si="22"/>
        <v>0</v>
      </c>
      <c r="M71" s="37"/>
      <c r="N71" s="68" t="s">
        <v>32</v>
      </c>
      <c r="O71" s="37"/>
      <c r="P71" s="71" t="s">
        <v>32</v>
      </c>
      <c r="Q71" s="72">
        <f t="shared" si="23"/>
        <v>350000</v>
      </c>
      <c r="R71" s="72">
        <f t="shared" si="24"/>
        <v>350000</v>
      </c>
      <c r="S71" s="57"/>
      <c r="T71" s="8"/>
    </row>
    <row r="72" spans="1:20" ht="19.899999999999999" customHeight="1">
      <c r="A72" s="24" t="s">
        <v>33</v>
      </c>
      <c r="B72" s="51">
        <f t="shared" si="14"/>
        <v>366742</v>
      </c>
      <c r="C72" s="25">
        <f t="shared" si="15"/>
        <v>1.95E-2</v>
      </c>
      <c r="D72" s="25">
        <f t="shared" si="16"/>
        <v>1.7000000000000001E-2</v>
      </c>
      <c r="E72" s="51"/>
      <c r="F72" s="70">
        <v>1</v>
      </c>
      <c r="G72" s="52">
        <f t="shared" si="17"/>
        <v>911068</v>
      </c>
      <c r="H72" s="43">
        <f t="shared" si="18"/>
        <v>794903</v>
      </c>
      <c r="I72" s="25">
        <f t="shared" si="19"/>
        <v>1.9699999999999999E-2</v>
      </c>
      <c r="J72" s="53">
        <f t="shared" si="20"/>
        <v>1598819</v>
      </c>
      <c r="K72" s="43">
        <f t="shared" si="21"/>
        <v>1364984</v>
      </c>
      <c r="L72" s="25">
        <f t="shared" si="22"/>
        <v>1.67E-2</v>
      </c>
      <c r="M72" s="37"/>
      <c r="N72" s="68" t="s">
        <v>33</v>
      </c>
      <c r="O72" s="37"/>
      <c r="P72" s="71" t="s">
        <v>33</v>
      </c>
      <c r="Q72" s="72">
        <f t="shared" si="23"/>
        <v>2428342</v>
      </c>
      <c r="R72" s="72">
        <f t="shared" si="24"/>
        <v>2428342</v>
      </c>
      <c r="S72" s="57"/>
      <c r="T72" s="8"/>
    </row>
    <row r="73" spans="1:20" ht="19.899999999999999" customHeight="1">
      <c r="A73" s="24" t="s">
        <v>34</v>
      </c>
      <c r="B73" s="51">
        <f t="shared" si="14"/>
        <v>750493</v>
      </c>
      <c r="C73" s="25">
        <f t="shared" si="15"/>
        <v>0.04</v>
      </c>
      <c r="D73" s="25">
        <f t="shared" si="16"/>
        <v>3.4799999999999998E-2</v>
      </c>
      <c r="E73" s="51"/>
      <c r="F73" s="70">
        <f>1-SUM(F74:F75)</f>
        <v>0.627</v>
      </c>
      <c r="G73" s="52">
        <f t="shared" si="17"/>
        <v>1868858</v>
      </c>
      <c r="H73" s="43">
        <f t="shared" si="18"/>
        <v>1752693</v>
      </c>
      <c r="I73" s="25">
        <f t="shared" si="19"/>
        <v>4.3299999999999998E-2</v>
      </c>
      <c r="J73" s="53">
        <f t="shared" si="20"/>
        <v>3272877</v>
      </c>
      <c r="K73" s="43">
        <f t="shared" si="21"/>
        <v>3039042</v>
      </c>
      <c r="L73" s="25">
        <f t="shared" si="22"/>
        <v>3.7199999999999997E-2</v>
      </c>
      <c r="M73" s="37"/>
      <c r="N73" s="38" t="s">
        <v>34</v>
      </c>
      <c r="O73" s="37"/>
      <c r="P73" s="71" t="s">
        <v>34</v>
      </c>
      <c r="Q73" s="72">
        <f t="shared" si="23"/>
        <v>4956845</v>
      </c>
      <c r="R73" s="72">
        <f>ROUND(Q73-SUM(R74:R75),0)</f>
        <v>3107941</v>
      </c>
      <c r="S73" s="57"/>
      <c r="T73" s="8"/>
    </row>
    <row r="74" spans="1:20" ht="19.899999999999999" customHeight="1">
      <c r="A74" s="63" t="s">
        <v>35</v>
      </c>
      <c r="B74" s="64"/>
      <c r="E74" s="64">
        <f>VLOOKUP($A74,Population_2020,2,FALSE)</f>
        <v>187307</v>
      </c>
      <c r="F74" s="7">
        <f>ROUND((E74/$B$73),4)</f>
        <v>0.24959999999999999</v>
      </c>
      <c r="G74" s="66"/>
      <c r="H74" s="14"/>
      <c r="J74" s="67"/>
      <c r="K74" s="14"/>
      <c r="M74" s="10"/>
      <c r="N74" s="38" t="s">
        <v>34</v>
      </c>
      <c r="O74" s="10"/>
      <c r="P74" s="69" t="s">
        <v>35</v>
      </c>
      <c r="Q74" s="56"/>
      <c r="R74" s="56">
        <f>ROUND(Q$73*F74,0)</f>
        <v>1237229</v>
      </c>
      <c r="S74" s="12"/>
      <c r="T74" s="8"/>
    </row>
    <row r="75" spans="1:20" ht="19.899999999999999" customHeight="1">
      <c r="A75" s="114" t="s">
        <v>603</v>
      </c>
      <c r="B75" s="64"/>
      <c r="E75" s="64">
        <f>VLOOKUP($A75,Population_2020,2,FALSE)</f>
        <v>92599</v>
      </c>
      <c r="F75" s="32">
        <f>ROUND((E75/$B$73),4)</f>
        <v>0.1234</v>
      </c>
      <c r="G75" s="66"/>
      <c r="H75" s="14"/>
      <c r="J75" s="67"/>
      <c r="K75" s="14"/>
      <c r="M75" s="10"/>
      <c r="N75" s="68" t="s">
        <v>34</v>
      </c>
      <c r="O75" s="10"/>
      <c r="P75" s="228" t="s">
        <v>603</v>
      </c>
      <c r="Q75" s="94"/>
      <c r="R75" s="94">
        <f>ROUND(Q$73*F75,0)</f>
        <v>611675</v>
      </c>
      <c r="S75" s="12"/>
      <c r="T75" s="8"/>
    </row>
    <row r="76" spans="1:20" ht="19.899999999999999" customHeight="1">
      <c r="A76" s="24" t="s">
        <v>36</v>
      </c>
      <c r="B76" s="51">
        <f>VLOOKUP(A76,Population_2020,2)</f>
        <v>299484</v>
      </c>
      <c r="C76" s="25">
        <f>ROUND(B76/$B$137,4)</f>
        <v>1.6E-2</v>
      </c>
      <c r="D76" s="25">
        <f>ROUND(B76/$B$136,4)</f>
        <v>1.3899999999999999E-2</v>
      </c>
      <c r="E76" s="51"/>
      <c r="F76" s="70">
        <f>ROUND((B76-E77)/B76,4)</f>
        <v>0.33679999999999999</v>
      </c>
      <c r="G76" s="52">
        <f>ROUND($G$12*C76,0)</f>
        <v>747543</v>
      </c>
      <c r="H76" s="43">
        <f>IF(G76&gt;H$11,(G76-H$11),0)</f>
        <v>631378</v>
      </c>
      <c r="I76" s="25">
        <f>IF(H76&gt;0,ROUND(H76/$H$136,4),0)</f>
        <v>1.5599999999999999E-2</v>
      </c>
      <c r="J76" s="53">
        <f>ROUND($J$12*D76,0)</f>
        <v>1307270</v>
      </c>
      <c r="K76" s="43">
        <f>IF(J76&gt;K$11,(J76-K$11),0)</f>
        <v>1073435</v>
      </c>
      <c r="L76" s="25">
        <f>IF(K76&gt;0,ROUND(K76/$K$136,4),0)</f>
        <v>1.32E-2</v>
      </c>
      <c r="M76" s="37"/>
      <c r="N76" s="38" t="s">
        <v>36</v>
      </c>
      <c r="O76" s="37"/>
      <c r="P76" s="71" t="s">
        <v>36</v>
      </c>
      <c r="Q76" s="72">
        <f>ROUND((I76*$Q$153)+(L76*$Q$159)+$K$4,0)</f>
        <v>1993884</v>
      </c>
      <c r="R76" s="72">
        <f>ROUND(Q76-R77,0)</f>
        <v>671540</v>
      </c>
      <c r="S76" s="57"/>
      <c r="T76" s="8"/>
    </row>
    <row r="77" spans="1:20" ht="19.899999999999999" customHeight="1">
      <c r="A77" s="63" t="s">
        <v>37</v>
      </c>
      <c r="B77" s="64"/>
      <c r="E77" s="64">
        <f>VLOOKUP($A77,Population_2020,2,FALSE)</f>
        <v>198627</v>
      </c>
      <c r="F77" s="32">
        <f>ROUND(E77/B76,4)</f>
        <v>0.66320000000000001</v>
      </c>
      <c r="G77" s="66"/>
      <c r="H77" s="14"/>
      <c r="J77" s="67"/>
      <c r="K77" s="14"/>
      <c r="M77" s="10"/>
      <c r="N77" s="68" t="s">
        <v>36</v>
      </c>
      <c r="O77" s="10"/>
      <c r="P77" s="69" t="s">
        <v>37</v>
      </c>
      <c r="Q77" s="56"/>
      <c r="R77" s="56">
        <f>ROUND(Q76*F77,0)</f>
        <v>1322344</v>
      </c>
      <c r="S77" s="12"/>
      <c r="T77" s="8"/>
    </row>
    <row r="78" spans="1:20" ht="19.899999999999999" customHeight="1">
      <c r="A78" s="24" t="s">
        <v>38</v>
      </c>
      <c r="B78" s="51">
        <f>VLOOKUP(A78,Population_2020,2)</f>
        <v>41699</v>
      </c>
      <c r="C78" s="25">
        <f>ROUND(B78/$B$137,4)</f>
        <v>2.2000000000000001E-3</v>
      </c>
      <c r="D78" s="25">
        <f>ROUND(B78/$B$136,4)</f>
        <v>1.9E-3</v>
      </c>
      <c r="E78" s="51"/>
      <c r="F78" s="70">
        <v>1</v>
      </c>
      <c r="G78" s="52">
        <f>ROUND($G$12*C78,0)</f>
        <v>102787</v>
      </c>
      <c r="H78" s="43">
        <f>IF(G78&gt;H$11,(G78-H$11),0)</f>
        <v>0</v>
      </c>
      <c r="I78" s="25">
        <f>IF(H78&gt;0,ROUND(H78/$H$136,4),0)</f>
        <v>0</v>
      </c>
      <c r="J78" s="53">
        <f>ROUND($J$12*D78,0)</f>
        <v>178692</v>
      </c>
      <c r="K78" s="43">
        <f>IF(J78&gt;K$11,(J78-K$11),0)</f>
        <v>0</v>
      </c>
      <c r="L78" s="25">
        <f>IF(K78&gt;0,ROUND(K78/$K$136,4),0)</f>
        <v>0</v>
      </c>
      <c r="M78" s="37"/>
      <c r="N78" s="68" t="s">
        <v>38</v>
      </c>
      <c r="O78" s="37"/>
      <c r="P78" s="71" t="s">
        <v>38</v>
      </c>
      <c r="Q78" s="72">
        <f>ROUND((I78*$Q$153)+(L78*$Q$159)+$K$4,0)</f>
        <v>350000</v>
      </c>
      <c r="R78" s="72">
        <f>ROUND(Q78,0)</f>
        <v>350000</v>
      </c>
      <c r="S78" s="57"/>
      <c r="T78" s="8"/>
    </row>
    <row r="79" spans="1:20" ht="19.899999999999999" customHeight="1">
      <c r="A79" s="24" t="s">
        <v>39</v>
      </c>
      <c r="B79" s="51">
        <f>VLOOKUP(A79,Population_2020,2)</f>
        <v>8575</v>
      </c>
      <c r="C79" s="25">
        <f>ROUND(B79/$B$137,4)</f>
        <v>5.0000000000000001E-4</v>
      </c>
      <c r="D79" s="25">
        <f>ROUND(B79/$B$136,4)</f>
        <v>4.0000000000000002E-4</v>
      </c>
      <c r="E79" s="51"/>
      <c r="F79" s="70">
        <v>1</v>
      </c>
      <c r="G79" s="52">
        <f>ROUND($G$12*C79,0)</f>
        <v>23361</v>
      </c>
      <c r="H79" s="43">
        <f>IF(G79&gt;H$11,(G79-H$11),0)</f>
        <v>0</v>
      </c>
      <c r="I79" s="25">
        <f>IF(H79&gt;0,ROUND(H79/$H$136,4),0)</f>
        <v>0</v>
      </c>
      <c r="J79" s="53">
        <f>ROUND($J$12*D79,0)</f>
        <v>37619</v>
      </c>
      <c r="K79" s="43">
        <f>IF(J79&gt;K$11,(J79-K$11),0)</f>
        <v>0</v>
      </c>
      <c r="L79" s="25">
        <f>IF(K79&gt;0,ROUND(K79/$K$136,4),0)</f>
        <v>0</v>
      </c>
      <c r="M79" s="37"/>
      <c r="N79" s="68" t="s">
        <v>39</v>
      </c>
      <c r="O79" s="37"/>
      <c r="P79" s="71" t="s">
        <v>39</v>
      </c>
      <c r="Q79" s="72">
        <f>ROUND((I79*$Q$153)+(L79*$Q$159)+$K$4,0)</f>
        <v>350000</v>
      </c>
      <c r="R79" s="72">
        <f>ROUND(Q79,0)</f>
        <v>350000</v>
      </c>
      <c r="S79" s="57"/>
      <c r="T79" s="8"/>
    </row>
    <row r="80" spans="1:20" ht="19.899999999999999" customHeight="1">
      <c r="A80" s="24" t="s">
        <v>40</v>
      </c>
      <c r="B80" s="51">
        <f>VLOOKUP(A80,Population_2020,2)</f>
        <v>18954</v>
      </c>
      <c r="C80" s="25">
        <f>ROUND(B80/$B$137,4)</f>
        <v>1E-3</v>
      </c>
      <c r="D80" s="25">
        <f>ROUND(B80/$B$136,4)</f>
        <v>8.9999999999999998E-4</v>
      </c>
      <c r="E80" s="51"/>
      <c r="F80" s="70">
        <v>1</v>
      </c>
      <c r="G80" s="52">
        <f>ROUND($G$12*C80,0)</f>
        <v>46721</v>
      </c>
      <c r="H80" s="43">
        <f>IF(G80&gt;H$11,(G80-H$11),0)</f>
        <v>0</v>
      </c>
      <c r="I80" s="25">
        <f>IF(H80&gt;0,ROUND(H80/$H$136,4),0)</f>
        <v>0</v>
      </c>
      <c r="J80" s="53">
        <f>ROUND($J$12*D80,0)</f>
        <v>84643</v>
      </c>
      <c r="K80" s="43">
        <f>IF(J80&gt;K$11,(J80-K$11),0)</f>
        <v>0</v>
      </c>
      <c r="L80" s="25">
        <f>IF(K80&gt;0,ROUND(K80/$K$136,4),0)</f>
        <v>0</v>
      </c>
      <c r="M80" s="37"/>
      <c r="N80" s="68" t="s">
        <v>40</v>
      </c>
      <c r="O80" s="37"/>
      <c r="P80" s="71" t="s">
        <v>40</v>
      </c>
      <c r="Q80" s="72">
        <f>ROUND((I80*$Q$153)+(L80*$Q$159)+$K$4,0)</f>
        <v>350000</v>
      </c>
      <c r="R80" s="72">
        <f>ROUND(Q80,0)</f>
        <v>350000</v>
      </c>
      <c r="S80" s="57"/>
      <c r="T80" s="8"/>
    </row>
    <row r="81" spans="1:23" ht="19.899999999999999" customHeight="1">
      <c r="A81" s="24" t="s">
        <v>41</v>
      </c>
      <c r="B81" s="51">
        <f>VLOOKUP(A81,Population_2020,2)</f>
        <v>398503</v>
      </c>
      <c r="C81" s="25">
        <f>ROUND(B81/$B$137,4)</f>
        <v>2.12E-2</v>
      </c>
      <c r="D81" s="25">
        <f>ROUND(B81/$B$136,4)</f>
        <v>1.8499999999999999E-2</v>
      </c>
      <c r="E81" s="51"/>
      <c r="F81" s="70">
        <f>ROUND((B81-E82)/B81,4)</f>
        <v>0.85289999999999999</v>
      </c>
      <c r="G81" s="52">
        <f>ROUND($G$12*C81,0)</f>
        <v>990495</v>
      </c>
      <c r="H81" s="43">
        <f>IF(G81&gt;H$11,(G81-H$11),0)</f>
        <v>874330</v>
      </c>
      <c r="I81" s="25">
        <f>IF(H81&gt;0,ROUND(H81/$H$136,4),0)</f>
        <v>2.1600000000000001E-2</v>
      </c>
      <c r="J81" s="53">
        <f>ROUND($J$12*D81,0)</f>
        <v>1739892</v>
      </c>
      <c r="K81" s="43">
        <f>IF(J81&gt;K$11,(J81-K$11),0)</f>
        <v>1506057</v>
      </c>
      <c r="L81" s="25">
        <f>IF(K81&gt;0,ROUND(K81/$K$136,4),0)</f>
        <v>1.8499999999999999E-2</v>
      </c>
      <c r="M81" s="37"/>
      <c r="N81" s="38" t="s">
        <v>41</v>
      </c>
      <c r="O81" s="37"/>
      <c r="P81" s="71" t="s">
        <v>41</v>
      </c>
      <c r="Q81" s="72">
        <f>ROUND((I81*$Q$153)+(L81*$Q$159)+$K$4,0)</f>
        <v>2643632</v>
      </c>
      <c r="R81" s="72">
        <f>ROUND(Q81-R82,0)</f>
        <v>2254754</v>
      </c>
      <c r="S81" s="57"/>
      <c r="T81" s="8"/>
    </row>
    <row r="82" spans="1:23" ht="19.899999999999999" customHeight="1">
      <c r="A82" s="63" t="s">
        <v>42</v>
      </c>
      <c r="B82" s="64"/>
      <c r="E82" s="64">
        <f>VLOOKUP($A82,Population_2020,2,FALSE)</f>
        <v>58621</v>
      </c>
      <c r="F82" s="32">
        <f>ROUND(E82/B81,4)</f>
        <v>0.14710000000000001</v>
      </c>
      <c r="G82" s="66"/>
      <c r="H82" s="14"/>
      <c r="J82" s="67"/>
      <c r="K82" s="14"/>
      <c r="M82" s="10"/>
      <c r="N82" s="68" t="s">
        <v>41</v>
      </c>
      <c r="O82" s="10"/>
      <c r="P82" s="69" t="s">
        <v>42</v>
      </c>
      <c r="Q82" s="56"/>
      <c r="R82" s="56">
        <f>ROUND(Q81*F82,0)</f>
        <v>388878</v>
      </c>
      <c r="S82" s="12"/>
      <c r="T82" s="8"/>
    </row>
    <row r="83" spans="1:23" ht="19.899999999999999" customHeight="1">
      <c r="A83" s="24" t="s">
        <v>43</v>
      </c>
      <c r="B83" s="51">
        <f>VLOOKUP(A83,Population_2020,2)</f>
        <v>368135</v>
      </c>
      <c r="C83" s="25">
        <f>ROUND(B83/$B$137,4)</f>
        <v>1.9599999999999999E-2</v>
      </c>
      <c r="D83" s="25">
        <f>ROUND(B83/$B$136,4)</f>
        <v>1.7000000000000001E-2</v>
      </c>
      <c r="E83" s="51"/>
      <c r="F83" s="70">
        <f>ROUND((B83-E84)/B83,4)</f>
        <v>0.83150000000000002</v>
      </c>
      <c r="G83" s="52">
        <f>ROUND($G$12*C83,0)</f>
        <v>915740</v>
      </c>
      <c r="H83" s="43">
        <f>IF(G83&gt;H$11,(G83-H$11),0)</f>
        <v>799575</v>
      </c>
      <c r="I83" s="25">
        <f>IF(H83&gt;0,ROUND(H83/$H$136,4),0)</f>
        <v>1.9800000000000002E-2</v>
      </c>
      <c r="J83" s="53">
        <f>ROUND($J$12*D83,0)</f>
        <v>1598819</v>
      </c>
      <c r="K83" s="43">
        <f>IF(J83&gt;K$11,(J83-K$11),0)</f>
        <v>1364984</v>
      </c>
      <c r="L83" s="25">
        <f>IF(K83&gt;0,ROUND(K83/$K$136,4),0)</f>
        <v>1.67E-2</v>
      </c>
      <c r="M83" s="37"/>
      <c r="N83" s="38" t="s">
        <v>43</v>
      </c>
      <c r="O83" s="37"/>
      <c r="P83" s="71" t="s">
        <v>43</v>
      </c>
      <c r="Q83" s="72">
        <f>ROUND((I83*$Q$153)+(L83*$Q$159)+$K$4,0)</f>
        <v>2432247</v>
      </c>
      <c r="R83" s="72">
        <f>ROUND(Q83-R84,0)</f>
        <v>2022413</v>
      </c>
      <c r="S83" s="57"/>
      <c r="T83" s="8"/>
    </row>
    <row r="84" spans="1:23" ht="19.899999999999999" customHeight="1">
      <c r="A84" s="63" t="s">
        <v>44</v>
      </c>
      <c r="B84" s="64"/>
      <c r="E84" s="64">
        <f>VLOOKUP($A84,Population_2020,2,FALSE)</f>
        <v>62023</v>
      </c>
      <c r="F84" s="32">
        <f>ROUND(E84/B83,4)</f>
        <v>0.16850000000000001</v>
      </c>
      <c r="G84" s="66"/>
      <c r="H84" s="14"/>
      <c r="J84" s="67"/>
      <c r="K84" s="14"/>
      <c r="M84" s="10"/>
      <c r="N84" s="68" t="s">
        <v>43</v>
      </c>
      <c r="O84" s="10"/>
      <c r="P84" s="69" t="s">
        <v>44</v>
      </c>
      <c r="Q84" s="56"/>
      <c r="R84" s="56">
        <f>ROUND(Q83*F84,0)</f>
        <v>409834</v>
      </c>
      <c r="S84" s="12"/>
      <c r="T84" s="8"/>
    </row>
    <row r="85" spans="1:23" ht="19.899999999999999" customHeight="1">
      <c r="A85" s="24" t="s">
        <v>45</v>
      </c>
      <c r="B85" s="51">
        <f>VLOOKUP(A85,Population_2020,2)</f>
        <v>161301</v>
      </c>
      <c r="C85" s="25">
        <f>ROUND(B85/$B$137,4)</f>
        <v>8.6E-3</v>
      </c>
      <c r="D85" s="25">
        <f>ROUND(B85/$B$136,4)</f>
        <v>7.4999999999999997E-3</v>
      </c>
      <c r="E85" s="51"/>
      <c r="F85" s="70">
        <v>1</v>
      </c>
      <c r="G85" s="52">
        <f>ROUND($G$12*C85,0)</f>
        <v>401804</v>
      </c>
      <c r="H85" s="43">
        <f>IF(G85&gt;H$11,(G85-H$11),0)</f>
        <v>285639</v>
      </c>
      <c r="I85" s="25">
        <f>IF(H85&gt;0,ROUND(H85/$H$136,4),0)</f>
        <v>7.1000000000000004E-3</v>
      </c>
      <c r="J85" s="53">
        <f>ROUND($J$12*D85,0)</f>
        <v>705362</v>
      </c>
      <c r="K85" s="43">
        <f>IF(J85&gt;K$11,(J85-K$11),0)</f>
        <v>471527</v>
      </c>
      <c r="L85" s="25">
        <f>IF(K85&gt;0,ROUND(K85/$K$136,4),0)</f>
        <v>5.7999999999999996E-3</v>
      </c>
      <c r="M85" s="37"/>
      <c r="N85" s="68" t="s">
        <v>45</v>
      </c>
      <c r="O85" s="37"/>
      <c r="P85" s="71" t="s">
        <v>45</v>
      </c>
      <c r="Q85" s="72">
        <f>ROUND((I85*$Q$153)+(L85*$Q$159)+$K$4,0)</f>
        <v>1081899</v>
      </c>
      <c r="R85" s="72">
        <f>ROUND(Q85,0)</f>
        <v>1081899</v>
      </c>
      <c r="S85" s="57"/>
      <c r="T85" s="8"/>
    </row>
    <row r="86" spans="1:23" ht="19.899999999999999" customHeight="1">
      <c r="A86" s="24" t="s">
        <v>46</v>
      </c>
      <c r="B86" s="51">
        <f>VLOOKUP(A86,Population_2020,2)</f>
        <v>2832794</v>
      </c>
      <c r="C86" s="25"/>
      <c r="D86" s="25">
        <f>ROUND(B86/$B$136,4)+D141</f>
        <v>0.13110000000000002</v>
      </c>
      <c r="E86" s="51"/>
      <c r="F86" s="70">
        <f>1-SUM(F87:F91)</f>
        <v>0.64290000000000003</v>
      </c>
      <c r="G86" s="52"/>
      <c r="H86" s="43"/>
      <c r="I86" s="25"/>
      <c r="J86" s="53">
        <f>ROUND($J$12*D86,0)+J141</f>
        <v>12329718</v>
      </c>
      <c r="K86" s="43">
        <f>IF(J86&gt;K$11,(J86-K$11),0)</f>
        <v>12095883</v>
      </c>
      <c r="L86" s="25">
        <f>IF(K86&gt;0,ROUND(K86/$K$136,4),0)+L141</f>
        <v>0.14810000000000001</v>
      </c>
      <c r="M86" s="37"/>
      <c r="N86" s="38" t="s">
        <v>46</v>
      </c>
      <c r="O86" s="37"/>
      <c r="P86" s="71" t="s">
        <v>46</v>
      </c>
      <c r="Q86" s="72">
        <f>ROUND((L86*$Q$159)+K11,0)+Q141</f>
        <v>11842098</v>
      </c>
      <c r="R86" s="72">
        <f>ROUND(Q86-SUM(R87:R91),0)</f>
        <v>7613284</v>
      </c>
      <c r="S86" s="57"/>
      <c r="T86" s="8"/>
    </row>
    <row r="87" spans="1:23" ht="19.899999999999999" customHeight="1">
      <c r="A87" s="63" t="s">
        <v>47</v>
      </c>
      <c r="B87" s="64"/>
      <c r="E87" s="64">
        <f>VLOOKUP($A87,Population_2020,2,FALSE)</f>
        <v>239956</v>
      </c>
      <c r="F87" s="7">
        <f>ROUND((E87/$B$86),4)</f>
        <v>8.4699999999999998E-2</v>
      </c>
      <c r="G87" s="66"/>
      <c r="H87" s="14"/>
      <c r="J87" s="67"/>
      <c r="K87" s="14"/>
      <c r="M87" s="10"/>
      <c r="N87" s="38" t="s">
        <v>46</v>
      </c>
      <c r="O87" s="10"/>
      <c r="P87" s="69" t="s">
        <v>47</v>
      </c>
      <c r="Q87" s="56"/>
      <c r="R87" s="56">
        <f>ROUND($Q$86*F87,0)</f>
        <v>1003026</v>
      </c>
      <c r="S87" s="12"/>
      <c r="T87" s="8"/>
    </row>
    <row r="88" spans="1:23" ht="19.899999999999999" customHeight="1">
      <c r="A88" s="63" t="s">
        <v>48</v>
      </c>
      <c r="B88" s="64"/>
      <c r="E88" s="64">
        <f>VLOOKUP($A88,Population_2020,2,FALSE)</f>
        <v>497924</v>
      </c>
      <c r="F88" s="7">
        <f>ROUND((E88/$B$86),4)</f>
        <v>0.17580000000000001</v>
      </c>
      <c r="G88" s="66"/>
      <c r="H88" s="14"/>
      <c r="J88" s="67"/>
      <c r="K88" s="14"/>
      <c r="M88" s="10"/>
      <c r="N88" s="38" t="s">
        <v>46</v>
      </c>
      <c r="O88" s="10"/>
      <c r="P88" s="69" t="s">
        <v>48</v>
      </c>
      <c r="Q88" s="56"/>
      <c r="R88" s="56">
        <f>ROUND($Q$86*F88,0)</f>
        <v>2081841</v>
      </c>
      <c r="S88" s="12"/>
      <c r="T88" s="8"/>
    </row>
    <row r="89" spans="1:23" ht="19.899999999999999" customHeight="1">
      <c r="A89" s="63" t="s">
        <v>49</v>
      </c>
      <c r="B89" s="64"/>
      <c r="E89" s="64">
        <f>VLOOKUP($A89,Population_2020,2,FALSE)</f>
        <v>94161</v>
      </c>
      <c r="F89" s="7">
        <f>ROUND((E89/$B$86),4)</f>
        <v>3.32E-2</v>
      </c>
      <c r="G89" s="66"/>
      <c r="H89" s="14"/>
      <c r="J89" s="67"/>
      <c r="K89" s="14"/>
      <c r="M89" s="10"/>
      <c r="N89" s="38" t="s">
        <v>46</v>
      </c>
      <c r="O89" s="10"/>
      <c r="P89" s="69" t="s">
        <v>49</v>
      </c>
      <c r="Q89" s="56"/>
      <c r="R89" s="56">
        <f>ROUND($Q$86*F89,0)</f>
        <v>393158</v>
      </c>
      <c r="S89" s="12"/>
      <c r="T89" s="8"/>
    </row>
    <row r="90" spans="1:23" ht="19.899999999999999" customHeight="1">
      <c r="A90" s="76" t="s">
        <v>50</v>
      </c>
      <c r="B90" s="109"/>
      <c r="C90" s="79"/>
      <c r="D90" s="79"/>
      <c r="E90" s="109">
        <f>VLOOKUP($A90,Population_2020,2,FALSE)</f>
        <v>114363</v>
      </c>
      <c r="F90" s="79">
        <f>ROUND((E90/$B$86),4)</f>
        <v>4.0399999999999998E-2</v>
      </c>
      <c r="G90" s="80"/>
      <c r="H90" s="110"/>
      <c r="I90" s="79"/>
      <c r="J90" s="82"/>
      <c r="K90" s="110"/>
      <c r="L90" s="79"/>
      <c r="M90" s="111"/>
      <c r="N90" s="38" t="s">
        <v>46</v>
      </c>
      <c r="O90" s="111"/>
      <c r="P90" s="85" t="s">
        <v>50</v>
      </c>
      <c r="Q90" s="86"/>
      <c r="R90" s="86">
        <f>ROUND($Q$86*F90,0)</f>
        <v>478421</v>
      </c>
      <c r="S90" s="112"/>
      <c r="T90" s="8"/>
      <c r="U90" s="88"/>
      <c r="V90" s="88"/>
      <c r="W90" s="88"/>
    </row>
    <row r="91" spans="1:23" ht="19.899999999999999" customHeight="1">
      <c r="A91" s="63" t="s">
        <v>51</v>
      </c>
      <c r="B91" s="64"/>
      <c r="E91" s="64">
        <f>VLOOKUP($A91,Population_2020,2,FALSE)</f>
        <v>65089</v>
      </c>
      <c r="F91" s="32">
        <f>ROUND((E91/$B$86),4)</f>
        <v>2.3E-2</v>
      </c>
      <c r="G91" s="66"/>
      <c r="H91" s="14"/>
      <c r="J91" s="67"/>
      <c r="K91" s="14"/>
      <c r="M91" s="10"/>
      <c r="N91" s="68" t="s">
        <v>46</v>
      </c>
      <c r="O91" s="10"/>
      <c r="P91" s="69" t="s">
        <v>51</v>
      </c>
      <c r="Q91" s="56"/>
      <c r="R91" s="56">
        <f>ROUND($Q$86*F91,0)</f>
        <v>272368</v>
      </c>
      <c r="S91" s="12"/>
      <c r="T91" s="8"/>
    </row>
    <row r="92" spans="1:23" ht="19.899999999999999" customHeight="1">
      <c r="A92" s="24" t="s">
        <v>52</v>
      </c>
      <c r="B92" s="51">
        <f>VLOOKUP(A92,Population_2020,2)</f>
        <v>77823</v>
      </c>
      <c r="C92" s="25">
        <f>ROUND(B92/$B$137,4)</f>
        <v>4.1000000000000003E-3</v>
      </c>
      <c r="D92" s="25">
        <f>ROUND(B92/$B$136,4)</f>
        <v>3.5999999999999999E-3</v>
      </c>
      <c r="E92" s="51"/>
      <c r="F92" s="70">
        <v>1</v>
      </c>
      <c r="G92" s="52">
        <f>ROUND($G$12*C92,0)</f>
        <v>191558</v>
      </c>
      <c r="H92" s="43">
        <f>IF(G92&gt;H$11,(G92-H$11),0)</f>
        <v>75393</v>
      </c>
      <c r="I92" s="25">
        <f>IF(H92&gt;0,ROUND(H92/$H$136,4),0)</f>
        <v>1.9E-3</v>
      </c>
      <c r="J92" s="53">
        <f>ROUND($J$12*D92,0)</f>
        <v>338574</v>
      </c>
      <c r="K92" s="43">
        <f>IF(J92&gt;K$11,(J92-K$11),0)</f>
        <v>104739</v>
      </c>
      <c r="L92" s="25">
        <f>IF(K92&gt;0,ROUND(K92/$K$136,4),0)</f>
        <v>1.2999999999999999E-3</v>
      </c>
      <c r="M92" s="37"/>
      <c r="N92" s="68" t="s">
        <v>52</v>
      </c>
      <c r="O92" s="37"/>
      <c r="P92" s="71" t="s">
        <v>52</v>
      </c>
      <c r="Q92" s="72">
        <f>ROUND((I92*$Q$153)+(L92*$Q$159)+$K$4,0)</f>
        <v>526099</v>
      </c>
      <c r="R92" s="72">
        <f>ROUND(Q92,0)</f>
        <v>526099</v>
      </c>
      <c r="S92" s="57"/>
      <c r="T92" s="8"/>
    </row>
    <row r="93" spans="1:23" ht="19.899999999999999" customHeight="1">
      <c r="A93" s="24" t="s">
        <v>53</v>
      </c>
      <c r="B93" s="51">
        <f>VLOOKUP(A93,Population_2020,2)</f>
        <v>89258</v>
      </c>
      <c r="C93" s="25">
        <f>ROUND(B93/$B$137,4)</f>
        <v>4.7999999999999996E-3</v>
      </c>
      <c r="D93" s="25">
        <f>ROUND(B93/$B$136,4)</f>
        <v>4.1000000000000003E-3</v>
      </c>
      <c r="E93" s="51"/>
      <c r="F93" s="70">
        <v>1</v>
      </c>
      <c r="G93" s="52">
        <f>ROUND($G$12*C93,0)</f>
        <v>224263</v>
      </c>
      <c r="H93" s="43">
        <f>IF(G93&gt;H$11,(G93-H$11),0)</f>
        <v>108098</v>
      </c>
      <c r="I93" s="25">
        <f>IF(H93&gt;0,ROUND(H93/$H$136,4),0)</f>
        <v>2.7000000000000001E-3</v>
      </c>
      <c r="J93" s="53">
        <f>ROUND($J$12*D93,0)</f>
        <v>385598</v>
      </c>
      <c r="K93" s="43">
        <f>IF(J93&gt;K$11,(J93-K$11),0)</f>
        <v>151763</v>
      </c>
      <c r="L93" s="25">
        <f>IF(K93&gt;0,ROUND(K93/$K$136,4),0)</f>
        <v>1.9E-3</v>
      </c>
      <c r="M93" s="37"/>
      <c r="N93" s="68" t="s">
        <v>53</v>
      </c>
      <c r="O93" s="37"/>
      <c r="P93" s="71" t="s">
        <v>53</v>
      </c>
      <c r="Q93" s="72">
        <f>ROUND((I93*$Q$153)+(L93*$Q$159)+$K$4,0)</f>
        <v>604372</v>
      </c>
      <c r="R93" s="72">
        <f>ROUND(Q93,0)</f>
        <v>604372</v>
      </c>
      <c r="S93" s="57"/>
      <c r="T93" s="8"/>
    </row>
    <row r="94" spans="1:23" ht="19.899999999999999" customHeight="1">
      <c r="A94" s="24" t="s">
        <v>54</v>
      </c>
      <c r="B94" s="51">
        <f>VLOOKUP(A94,Population_2020,2)</f>
        <v>203951</v>
      </c>
      <c r="C94" s="25">
        <f>ROUND(B94/$B$137,4)</f>
        <v>1.09E-2</v>
      </c>
      <c r="D94" s="25">
        <f>ROUND(B94/$B$136,4)</f>
        <v>9.4000000000000004E-3</v>
      </c>
      <c r="E94" s="51"/>
      <c r="F94" s="70">
        <f>ROUND((B94-E95)/B94,4)</f>
        <v>0.89670000000000005</v>
      </c>
      <c r="G94" s="52">
        <f>ROUND($G$12*C94,0)</f>
        <v>509264</v>
      </c>
      <c r="H94" s="43">
        <f>IF(G94&gt;H$11,(G94-H$11),0)</f>
        <v>393099</v>
      </c>
      <c r="I94" s="25">
        <f>IF(H94&gt;0,ROUND(H94/$H$136,4),0)</f>
        <v>9.7000000000000003E-3</v>
      </c>
      <c r="J94" s="53">
        <f>ROUND($J$12*D94,0)</f>
        <v>884053</v>
      </c>
      <c r="K94" s="43">
        <f>IF(J94&gt;K$11,(J94-K$11),0)</f>
        <v>650218</v>
      </c>
      <c r="L94" s="25">
        <f>IF(K94&gt;0,ROUND(K94/$K$136,4),0)</f>
        <v>8.0000000000000002E-3</v>
      </c>
      <c r="M94" s="37"/>
      <c r="N94" s="38" t="s">
        <v>54</v>
      </c>
      <c r="O94" s="37"/>
      <c r="P94" s="71" t="s">
        <v>54</v>
      </c>
      <c r="Q94" s="72">
        <f>ROUND((I94*$Q$153)+(L94*$Q$159)+$K$4,0)</f>
        <v>1355879</v>
      </c>
      <c r="R94" s="72">
        <f>ROUND(Q94-R95,0)</f>
        <v>1215817</v>
      </c>
      <c r="S94" s="57"/>
      <c r="T94" s="8"/>
    </row>
    <row r="95" spans="1:23" ht="19.899999999999999" customHeight="1">
      <c r="A95" s="114" t="s">
        <v>605</v>
      </c>
      <c r="B95" s="64"/>
      <c r="E95" s="64">
        <f>VLOOKUP($A95,Population_2020,2,FALSE)</f>
        <v>21064</v>
      </c>
      <c r="F95" s="32">
        <f>ROUND(E95/B94,4)</f>
        <v>0.1033</v>
      </c>
      <c r="G95" s="66"/>
      <c r="H95" s="14"/>
      <c r="J95" s="67"/>
      <c r="K95" s="14"/>
      <c r="M95" s="10"/>
      <c r="N95" s="68" t="s">
        <v>54</v>
      </c>
      <c r="O95" s="10"/>
      <c r="P95" s="146" t="s">
        <v>605</v>
      </c>
      <c r="Q95" s="56"/>
      <c r="R95" s="56">
        <f>ROUND(Q94*F95,0)</f>
        <v>140062</v>
      </c>
      <c r="S95" s="12"/>
      <c r="T95" s="8"/>
    </row>
    <row r="96" spans="1:23" ht="19.899999999999999" customHeight="1">
      <c r="A96" s="24" t="s">
        <v>55</v>
      </c>
      <c r="B96" s="51">
        <f>VLOOKUP(A96,Population_2020,2)</f>
        <v>42112</v>
      </c>
      <c r="C96" s="25">
        <f>ROUND(B96/$B$137,4)</f>
        <v>2.2000000000000001E-3</v>
      </c>
      <c r="D96" s="25">
        <f>ROUND(B96/$B$136,4)</f>
        <v>1.9E-3</v>
      </c>
      <c r="E96" s="51"/>
      <c r="F96" s="70">
        <v>1</v>
      </c>
      <c r="G96" s="52">
        <f>ROUND($G$12*C96,0)</f>
        <v>102787</v>
      </c>
      <c r="H96" s="43">
        <f>IF(G96&gt;H$11,(G96-H$11),0)</f>
        <v>0</v>
      </c>
      <c r="I96" s="25">
        <f>IF(H96&gt;0,ROUND(H96/$H$136,4),0)</f>
        <v>0</v>
      </c>
      <c r="J96" s="53">
        <f>ROUND($J$12*D96,0)</f>
        <v>178692</v>
      </c>
      <c r="K96" s="43">
        <f>IF(J96&gt;K$11,(J96-K$11),0)</f>
        <v>0</v>
      </c>
      <c r="L96" s="25">
        <f>IF(K96&gt;0,ROUND(K96/$K$136,4),0)</f>
        <v>0</v>
      </c>
      <c r="M96" s="37"/>
      <c r="N96" s="68" t="s">
        <v>55</v>
      </c>
      <c r="O96" s="37"/>
      <c r="P96" s="71" t="s">
        <v>55</v>
      </c>
      <c r="Q96" s="72">
        <f>ROUND((I96*$Q$153)+(L96*$Q$159)+$K$4,0)</f>
        <v>350000</v>
      </c>
      <c r="R96" s="72">
        <f>ROUND(Q96,0)</f>
        <v>350000</v>
      </c>
      <c r="S96" s="57"/>
      <c r="T96" s="8"/>
    </row>
    <row r="97" spans="1:20" ht="19.899999999999999" customHeight="1">
      <c r="A97" s="24" t="s">
        <v>56</v>
      </c>
      <c r="B97" s="51">
        <f>VLOOKUP(A97,Population_2020,2)</f>
        <v>1415260</v>
      </c>
      <c r="C97" s="25">
        <f>ROUND(B97/$B$137,4)+C145</f>
        <v>7.5399999999999995E-2</v>
      </c>
      <c r="D97" s="25">
        <f>ROUND(B97/$B$136,4)+D145</f>
        <v>6.5500000000000003E-2</v>
      </c>
      <c r="E97" s="51"/>
      <c r="F97" s="70">
        <f>ROUND((B97-E98)/B97,4)</f>
        <v>0.78879999999999995</v>
      </c>
      <c r="G97" s="52">
        <f>ROUND($G$12*C97,0)+G145</f>
        <v>3522797</v>
      </c>
      <c r="H97" s="43">
        <f>IF(G97&gt;H$11,(G97-H$11),0)</f>
        <v>3406632</v>
      </c>
      <c r="I97" s="25">
        <f>IF(H97&gt;0,ROUND(H97/$H$136,4),0)+I145</f>
        <v>8.43E-2</v>
      </c>
      <c r="J97" s="53">
        <f>ROUND($J$12*D97,0)+J145</f>
        <v>6160157</v>
      </c>
      <c r="K97" s="43">
        <f>IF(J97&gt;K$11,(J97-K$11),0)</f>
        <v>5926322</v>
      </c>
      <c r="L97" s="25">
        <f>IF(K97&gt;0,ROUND(K97/$K$136,4),0)+L145</f>
        <v>7.2599999999999998E-2</v>
      </c>
      <c r="M97" s="37"/>
      <c r="N97" s="38" t="s">
        <v>56</v>
      </c>
      <c r="O97" s="37"/>
      <c r="P97" s="71" t="s">
        <v>56</v>
      </c>
      <c r="Q97" s="72">
        <f>ROUND((I97*$Q$153)+(L97*$Q$159)+$K$4,0)+Q145</f>
        <v>9332778</v>
      </c>
      <c r="R97" s="72">
        <f>ROUND(Q97-R98,0)</f>
        <v>7361695</v>
      </c>
      <c r="S97" s="57"/>
      <c r="T97" s="8"/>
    </row>
    <row r="98" spans="1:20" ht="19.899999999999999" customHeight="1">
      <c r="A98" s="63" t="s">
        <v>141</v>
      </c>
      <c r="B98" s="64"/>
      <c r="E98" s="64">
        <f>VLOOKUP($A98,Population_2020,2,FALSE)</f>
        <v>298943</v>
      </c>
      <c r="F98" s="32">
        <f>ROUND(E98/B97,4)</f>
        <v>0.2112</v>
      </c>
      <c r="G98" s="66"/>
      <c r="H98" s="14"/>
      <c r="J98" s="67"/>
      <c r="K98" s="14"/>
      <c r="M98" s="10"/>
      <c r="N98" s="68" t="s">
        <v>56</v>
      </c>
      <c r="O98" s="10"/>
      <c r="P98" s="69" t="s">
        <v>141</v>
      </c>
      <c r="Q98" s="56"/>
      <c r="R98" s="56">
        <f>ROUND(Q97*F98,0)</f>
        <v>1971083</v>
      </c>
      <c r="S98" s="12"/>
      <c r="T98" s="8"/>
    </row>
    <row r="99" spans="1:20" ht="19.899999999999999" customHeight="1">
      <c r="A99" s="24" t="s">
        <v>57</v>
      </c>
      <c r="B99" s="51">
        <f>VLOOKUP(A99,Population_2020,2)</f>
        <v>387055</v>
      </c>
      <c r="C99" s="25">
        <f>ROUND(B99/$B$137,4)</f>
        <v>2.06E-2</v>
      </c>
      <c r="D99" s="25">
        <f>ROUND(B99/$B$136,4)</f>
        <v>1.7899999999999999E-2</v>
      </c>
      <c r="E99" s="51"/>
      <c r="F99" s="70">
        <f>1-SUM(F100:F101)</f>
        <v>0.67310000000000003</v>
      </c>
      <c r="G99" s="52">
        <f>ROUND($G$12*C99,0)</f>
        <v>962462</v>
      </c>
      <c r="H99" s="43">
        <f>IF(G99&gt;H$11,(G99-H$11),0)</f>
        <v>846297</v>
      </c>
      <c r="I99" s="25">
        <f>IF(H99&gt;0,ROUND(H99/$H$136,4),0)</f>
        <v>2.0899999999999998E-2</v>
      </c>
      <c r="J99" s="53">
        <f>ROUND($J$12*D99,0)</f>
        <v>1683463</v>
      </c>
      <c r="K99" s="43">
        <f>IF(J99&gt;K$11,(J99-K$11),0)</f>
        <v>1449628</v>
      </c>
      <c r="L99" s="25">
        <f>IF(K99&gt;0,ROUND(K99/$K$136,4),0)</f>
        <v>1.78E-2</v>
      </c>
      <c r="M99" s="37"/>
      <c r="N99" s="38" t="s">
        <v>57</v>
      </c>
      <c r="O99" s="37"/>
      <c r="P99" s="71" t="s">
        <v>57</v>
      </c>
      <c r="Q99" s="72">
        <f>ROUND((I99*$Q$153)+(L99*$Q$159)+$K$4,0)</f>
        <v>2561427</v>
      </c>
      <c r="R99" s="72">
        <f>ROUND(Q99-R101,0)</f>
        <v>2060924</v>
      </c>
      <c r="S99" s="57"/>
      <c r="T99" s="8"/>
    </row>
    <row r="100" spans="1:20" ht="19.899999999999999" customHeight="1">
      <c r="A100" s="113" t="s">
        <v>296</v>
      </c>
      <c r="B100" s="264"/>
      <c r="C100" s="65"/>
      <c r="D100" s="65"/>
      <c r="E100" s="264">
        <f>VLOOKUP($A100,Population_2020,2,FALSE)</f>
        <v>50897</v>
      </c>
      <c r="F100" s="7">
        <f>ROUND((E100/$B$99),4)</f>
        <v>0.13150000000000001</v>
      </c>
      <c r="G100" s="66"/>
      <c r="H100" s="107"/>
      <c r="I100" s="65"/>
      <c r="J100" s="67"/>
      <c r="K100" s="107"/>
      <c r="L100" s="65"/>
      <c r="M100" s="39"/>
      <c r="N100" s="38"/>
      <c r="O100" s="39"/>
      <c r="P100" s="55"/>
      <c r="Q100" s="56"/>
      <c r="R100" s="56"/>
      <c r="S100" s="265"/>
      <c r="T100" s="8"/>
    </row>
    <row r="101" spans="1:20" ht="19.899999999999999" customHeight="1">
      <c r="A101" s="113" t="s">
        <v>142</v>
      </c>
      <c r="B101" s="64"/>
      <c r="E101" s="64">
        <f>VLOOKUP($A101,Population_2020,2,FALSE)</f>
        <v>75644</v>
      </c>
      <c r="F101" s="32">
        <f>ROUND((E101/$B$99),4)</f>
        <v>0.19539999999999999</v>
      </c>
      <c r="G101" s="66"/>
      <c r="H101" s="14"/>
      <c r="J101" s="67"/>
      <c r="K101" s="14"/>
      <c r="M101" s="10"/>
      <c r="N101" s="68" t="s">
        <v>57</v>
      </c>
      <c r="O101" s="10"/>
      <c r="P101" s="69" t="s">
        <v>142</v>
      </c>
      <c r="Q101" s="56"/>
      <c r="R101" s="56">
        <f>ROUND(Q99*F101,0)</f>
        <v>500503</v>
      </c>
      <c r="S101" s="12"/>
      <c r="T101" s="8"/>
    </row>
    <row r="102" spans="1:20" ht="19.899999999999999" customHeight="1">
      <c r="A102" s="24" t="s">
        <v>58</v>
      </c>
      <c r="B102" s="51">
        <f>VLOOKUP(A102,Population_2020,2)</f>
        <v>1466494</v>
      </c>
      <c r="C102" s="25">
        <f>ROUND(B102/$B$137,4)+C143</f>
        <v>7.8200000000000006E-2</v>
      </c>
      <c r="D102" s="25">
        <f>ROUND(B102/$B$136,4)+D143</f>
        <v>6.7900000000000002E-2</v>
      </c>
      <c r="E102" s="51"/>
      <c r="F102" s="70">
        <f>1-SUM(F103:F106)</f>
        <v>0.75619999999999998</v>
      </c>
      <c r="G102" s="52">
        <f>ROUND($G$12*C102,0)+G143</f>
        <v>3653617</v>
      </c>
      <c r="H102" s="43">
        <f>IF(G102&gt;H$11,(G102-H$11),0)</f>
        <v>3537452</v>
      </c>
      <c r="I102" s="25">
        <f>IF(H102&gt;0,ROUND(H102/$H$136,4),0)+I143</f>
        <v>8.7499999999999994E-2</v>
      </c>
      <c r="J102" s="53">
        <f>ROUND($J$12*D102,0)+J143</f>
        <v>6385873</v>
      </c>
      <c r="K102" s="43">
        <f>IF(J102&gt;K$11,(J102-K$11),0)</f>
        <v>6152038</v>
      </c>
      <c r="L102" s="25">
        <f>IF(K102&gt;0,ROUND(K102/$K$136,4),0)+L143</f>
        <v>7.5299999999999992E-2</v>
      </c>
      <c r="M102" s="37"/>
      <c r="N102" s="38" t="s">
        <v>58</v>
      </c>
      <c r="O102" s="37"/>
      <c r="P102" s="71" t="s">
        <v>58</v>
      </c>
      <c r="Q102" s="72">
        <f>ROUND((I102*$Q$153)+(L102*$Q$159)+$K$4,0)+Q143</f>
        <v>9669382</v>
      </c>
      <c r="R102" s="72">
        <f>ROUND(Q102-SUM(R103:R106),0)</f>
        <v>7311986</v>
      </c>
      <c r="S102" s="57"/>
      <c r="T102" s="8"/>
    </row>
    <row r="103" spans="1:20" ht="19.899999999999999" customHeight="1">
      <c r="A103" s="63" t="s">
        <v>59</v>
      </c>
      <c r="B103" s="64"/>
      <c r="E103" s="64">
        <f>VLOOKUP($A103,Population_2020,2,FALSE)</f>
        <v>95139</v>
      </c>
      <c r="F103" s="7">
        <f>ROUND((E103/$B$102),4)</f>
        <v>6.4899999999999999E-2</v>
      </c>
      <c r="G103" s="66"/>
      <c r="H103" s="14"/>
      <c r="J103" s="67"/>
      <c r="K103" s="14"/>
      <c r="M103" s="10"/>
      <c r="N103" s="38" t="s">
        <v>58</v>
      </c>
      <c r="O103" s="10"/>
      <c r="P103" s="69" t="s">
        <v>59</v>
      </c>
      <c r="Q103" s="56"/>
      <c r="R103" s="56">
        <f>ROUND(Q$102*F103,0)</f>
        <v>627543</v>
      </c>
      <c r="S103" s="12"/>
      <c r="T103" s="8"/>
    </row>
    <row r="104" spans="1:20" ht="19.899999999999999" customHeight="1">
      <c r="A104" s="63" t="s">
        <v>60</v>
      </c>
      <c r="B104" s="64"/>
      <c r="E104" s="64">
        <f>VLOOKUP($A104,Population_2020,2,FALSE)</f>
        <v>78495</v>
      </c>
      <c r="F104" s="7">
        <f>ROUND((E104/$B$102),4)</f>
        <v>5.3499999999999999E-2</v>
      </c>
      <c r="G104" s="66"/>
      <c r="H104" s="14"/>
      <c r="J104" s="67"/>
      <c r="K104" s="14"/>
      <c r="M104" s="10"/>
      <c r="N104" s="38" t="s">
        <v>58</v>
      </c>
      <c r="O104" s="10"/>
      <c r="P104" s="69" t="s">
        <v>60</v>
      </c>
      <c r="Q104" s="56"/>
      <c r="R104" s="56">
        <f>ROUND(Q$102*F104,0)</f>
        <v>517312</v>
      </c>
      <c r="S104" s="12"/>
      <c r="T104" s="8"/>
    </row>
    <row r="105" spans="1:20" ht="19.899999999999999" customHeight="1">
      <c r="A105" s="63" t="s">
        <v>61</v>
      </c>
      <c r="B105" s="64"/>
      <c r="E105" s="64">
        <f>VLOOKUP($A105,Population_2020,2,FALSE)</f>
        <v>67168</v>
      </c>
      <c r="F105" s="7">
        <f>ROUND((E105/$B$102),4)</f>
        <v>4.58E-2</v>
      </c>
      <c r="G105" s="66"/>
      <c r="H105" s="14"/>
      <c r="J105" s="67"/>
      <c r="K105" s="14"/>
      <c r="M105" s="10"/>
      <c r="N105" s="38" t="s">
        <v>58</v>
      </c>
      <c r="O105" s="10"/>
      <c r="P105" s="69" t="s">
        <v>61</v>
      </c>
      <c r="Q105" s="56"/>
      <c r="R105" s="56">
        <f>ROUND(Q$102*F105,0)</f>
        <v>442858</v>
      </c>
      <c r="S105" s="12"/>
      <c r="T105" s="8"/>
    </row>
    <row r="106" spans="1:20" ht="19.899999999999999" customHeight="1">
      <c r="A106" s="63" t="s">
        <v>62</v>
      </c>
      <c r="B106" s="64"/>
      <c r="E106" s="64">
        <f>VLOOKUP($A106,Population_2020,2,FALSE)</f>
        <v>116781</v>
      </c>
      <c r="F106" s="32">
        <f>ROUND((E106/$B$102),4)</f>
        <v>7.9600000000000004E-2</v>
      </c>
      <c r="G106" s="66"/>
      <c r="H106" s="14"/>
      <c r="J106" s="67"/>
      <c r="K106" s="14"/>
      <c r="M106" s="10"/>
      <c r="N106" s="68" t="s">
        <v>58</v>
      </c>
      <c r="O106" s="10"/>
      <c r="P106" s="69" t="s">
        <v>62</v>
      </c>
      <c r="Q106" s="56"/>
      <c r="R106" s="56">
        <f>ROUND(Q$102*F106,0)</f>
        <v>769683</v>
      </c>
      <c r="S106" s="12"/>
      <c r="T106" s="8"/>
    </row>
    <row r="107" spans="1:20" ht="19.899999999999999" customHeight="1">
      <c r="A107" s="24" t="s">
        <v>63</v>
      </c>
      <c r="B107" s="51">
        <f>VLOOKUP(A107,Population_2020,2)</f>
        <v>542638</v>
      </c>
      <c r="C107" s="25">
        <f>ROUND(B107/$B$137,4)</f>
        <v>2.8899999999999999E-2</v>
      </c>
      <c r="D107" s="25">
        <f>ROUND(B107/$B$136,4)</f>
        <v>2.5100000000000001E-2</v>
      </c>
      <c r="E107" s="51"/>
      <c r="F107" s="70">
        <v>1</v>
      </c>
      <c r="G107" s="52">
        <f>ROUND($G$12*C107,0)</f>
        <v>1350250</v>
      </c>
      <c r="H107" s="43">
        <f>IF(G107&gt;H$11,(G107-H$11),0)</f>
        <v>1234085</v>
      </c>
      <c r="I107" s="25">
        <f>IF(H107&gt;0,ROUND(H107/$H$136,4),0)</f>
        <v>3.0499999999999999E-2</v>
      </c>
      <c r="J107" s="53">
        <f>ROUND($J$12*D107,0)</f>
        <v>2360610</v>
      </c>
      <c r="K107" s="43">
        <f>IF(J107&gt;K$11,(J107-K$11),0)</f>
        <v>2126775</v>
      </c>
      <c r="L107" s="25">
        <f>IF(K107&gt;0,ROUND(K107/$K$136,4),0)</f>
        <v>2.6100000000000002E-2</v>
      </c>
      <c r="M107" s="37"/>
      <c r="N107" s="68" t="s">
        <v>63</v>
      </c>
      <c r="O107" s="37"/>
      <c r="P107" s="91" t="s">
        <v>63</v>
      </c>
      <c r="Q107" s="92">
        <f>ROUND((I107*$Q$153)+(L107*$Q$159)+$K$4,0)</f>
        <v>3586915</v>
      </c>
      <c r="R107" s="92">
        <f>ROUND(Q107,0)</f>
        <v>3586915</v>
      </c>
      <c r="S107" s="57"/>
      <c r="T107" s="8"/>
    </row>
    <row r="108" spans="1:20" ht="19.899999999999999" customHeight="1">
      <c r="A108" s="24" t="s">
        <v>64</v>
      </c>
      <c r="B108" s="51">
        <f>VLOOKUP(A108,Population_2020,2)</f>
        <v>984054</v>
      </c>
      <c r="C108" s="25">
        <f>ROUND(B108/$B$137,4)+C146</f>
        <v>5.2400000000000002E-2</v>
      </c>
      <c r="D108" s="25">
        <f>ROUND(B108/$B$136,4)+D146</f>
        <v>4.5600000000000002E-2</v>
      </c>
      <c r="E108" s="51"/>
      <c r="F108" s="70">
        <f>1-SUM(F109:F111)</f>
        <v>0.51880000000000004</v>
      </c>
      <c r="G108" s="52">
        <f>ROUND($G$12*C108,0)+G146</f>
        <v>2448204</v>
      </c>
      <c r="H108" s="43">
        <f>IF(G108&gt;H$11,(G108-H$11),0)</f>
        <v>2332039</v>
      </c>
      <c r="I108" s="25">
        <f>IF(H108&gt;0,ROUND(H108/$H$136,4),0)+I146</f>
        <v>5.7700000000000001E-2</v>
      </c>
      <c r="J108" s="53">
        <f>ROUND($J$12*D108,0)+J146</f>
        <v>4288598</v>
      </c>
      <c r="K108" s="43">
        <f>IF(J108&gt;K$11,(J108-K$11),0)</f>
        <v>4054763</v>
      </c>
      <c r="L108" s="25">
        <f>IF(K108&gt;0,ROUND(K108/$K$136,4),0)+L146</f>
        <v>4.9700000000000001E-2</v>
      </c>
      <c r="M108" s="37"/>
      <c r="N108" s="38" t="s">
        <v>64</v>
      </c>
      <c r="O108" s="37"/>
      <c r="P108" s="71" t="s">
        <v>64</v>
      </c>
      <c r="Q108" s="72">
        <f>ROUND((I108*$Q$153)+(L108*$Q$159)+$K$4,0)+Q146</f>
        <v>6498996</v>
      </c>
      <c r="R108" s="72">
        <f>ROUND(Q108-SUM(R109:R111),0)</f>
        <v>3371679</v>
      </c>
      <c r="S108" s="57"/>
      <c r="T108" s="8"/>
    </row>
    <row r="109" spans="1:20" ht="19.899999999999999" customHeight="1">
      <c r="A109" s="63" t="s">
        <v>65</v>
      </c>
      <c r="B109" s="64"/>
      <c r="E109" s="64">
        <f>VLOOKUP($A109,Population_2020,2,FALSE)</f>
        <v>118017</v>
      </c>
      <c r="F109" s="7">
        <f>ROUND((E109/$B$108),4)</f>
        <v>0.11990000000000001</v>
      </c>
      <c r="G109" s="66"/>
      <c r="H109" s="14"/>
      <c r="J109" s="67"/>
      <c r="K109" s="14"/>
      <c r="M109" s="10"/>
      <c r="N109" s="38" t="s">
        <v>64</v>
      </c>
      <c r="O109" s="10"/>
      <c r="P109" s="69" t="s">
        <v>65</v>
      </c>
      <c r="Q109" s="56"/>
      <c r="R109" s="56">
        <f>ROUND(Q$108*F109,0)</f>
        <v>779230</v>
      </c>
      <c r="S109" s="12"/>
      <c r="T109" s="8"/>
    </row>
    <row r="110" spans="1:20" ht="19.899999999999999" customHeight="1">
      <c r="A110" s="63" t="s">
        <v>66</v>
      </c>
      <c r="B110" s="64"/>
      <c r="E110" s="64">
        <f>VLOOKUP($A110,Population_2020,2,FALSE)</f>
        <v>84574</v>
      </c>
      <c r="F110" s="7">
        <f>ROUND((E110/$B$108),4)</f>
        <v>8.5900000000000004E-2</v>
      </c>
      <c r="G110" s="66"/>
      <c r="H110" s="14"/>
      <c r="J110" s="67"/>
      <c r="K110" s="14"/>
      <c r="M110" s="10"/>
      <c r="N110" s="38" t="s">
        <v>64</v>
      </c>
      <c r="O110" s="10"/>
      <c r="P110" s="69" t="s">
        <v>66</v>
      </c>
      <c r="Q110" s="56"/>
      <c r="R110" s="56">
        <f>ROUND(Q$108*F110,0)</f>
        <v>558264</v>
      </c>
      <c r="S110" s="12"/>
      <c r="T110" s="8"/>
    </row>
    <row r="111" spans="1:20" ht="19.899999999999999" customHeight="1">
      <c r="A111" s="63" t="s">
        <v>67</v>
      </c>
      <c r="B111" s="64"/>
      <c r="E111" s="64">
        <f>VLOOKUP($A111,Population_2020,2,FALSE)</f>
        <v>271044</v>
      </c>
      <c r="F111" s="32">
        <f>ROUND((E111/$B$108),4)</f>
        <v>0.27539999999999998</v>
      </c>
      <c r="G111" s="66"/>
      <c r="H111" s="14"/>
      <c r="J111" s="67"/>
      <c r="K111" s="14"/>
      <c r="M111" s="10"/>
      <c r="N111" s="68" t="s">
        <v>64</v>
      </c>
      <c r="O111" s="10"/>
      <c r="P111" s="69" t="s">
        <v>67</v>
      </c>
      <c r="Q111" s="56"/>
      <c r="R111" s="56">
        <f>ROUND(Q$108*F111,0)</f>
        <v>1789823</v>
      </c>
      <c r="S111" s="12"/>
      <c r="T111" s="8"/>
    </row>
    <row r="112" spans="1:20" ht="19.899999999999999" customHeight="1">
      <c r="A112" s="24" t="s">
        <v>68</v>
      </c>
      <c r="B112" s="51">
        <f>VLOOKUP(A112,Population_2020,2)</f>
        <v>715090</v>
      </c>
      <c r="C112" s="25">
        <f>ROUND(B112/$B$137,4)</f>
        <v>3.8100000000000002E-2</v>
      </c>
      <c r="D112" s="25">
        <f>ROUND(B112/$B$136,4)</f>
        <v>3.3099999999999997E-2</v>
      </c>
      <c r="E112" s="51"/>
      <c r="F112" s="70">
        <f>1-SUM(F113:F114)</f>
        <v>0.78139999999999998</v>
      </c>
      <c r="G112" s="52">
        <f>ROUND($G$12*C112,0)</f>
        <v>1780087</v>
      </c>
      <c r="H112" s="43">
        <f>IF(G112&gt;H$11,(G112-H$11),0)</f>
        <v>1663922</v>
      </c>
      <c r="I112" s="25">
        <f>IF(H112&gt;0,ROUND(H112/$H$136,4),0)</f>
        <v>4.1200000000000001E-2</v>
      </c>
      <c r="J112" s="53">
        <f>ROUND($J$12*D112,0)</f>
        <v>3112996</v>
      </c>
      <c r="K112" s="43">
        <f>IF(J112&gt;K$11,(J112-K$11),0)</f>
        <v>2879161</v>
      </c>
      <c r="L112" s="25">
        <f>IF(K112&gt;0,ROUND(K112/$K$136,4),0)</f>
        <v>3.5299999999999998E-2</v>
      </c>
      <c r="M112" s="37"/>
      <c r="N112" s="38" t="s">
        <v>68</v>
      </c>
      <c r="O112" s="37"/>
      <c r="P112" s="71" t="s">
        <v>68</v>
      </c>
      <c r="Q112" s="72">
        <f>ROUND((I112*$Q$153)+(L112*$Q$159)+$K$4,0)</f>
        <v>4725906</v>
      </c>
      <c r="R112" s="72">
        <f>ROUND(Q112-SUM(R113:R114),0)</f>
        <v>3692823</v>
      </c>
      <c r="S112" s="57"/>
      <c r="T112" s="8"/>
    </row>
    <row r="113" spans="1:20" ht="19.899999999999999" customHeight="1">
      <c r="A113" s="63" t="s">
        <v>69</v>
      </c>
      <c r="B113" s="64"/>
      <c r="E113" s="64">
        <f>VLOOKUP($A113,Population_2020,2,FALSE)</f>
        <v>109238</v>
      </c>
      <c r="F113" s="7">
        <f>ROUND((E113/$B$112),4)</f>
        <v>0.15279999999999999</v>
      </c>
      <c r="G113" s="66"/>
      <c r="H113" s="14"/>
      <c r="J113" s="67"/>
      <c r="K113" s="14"/>
      <c r="M113" s="10"/>
      <c r="N113" s="38" t="s">
        <v>68</v>
      </c>
      <c r="O113" s="10"/>
      <c r="P113" s="69" t="s">
        <v>69</v>
      </c>
      <c r="Q113" s="56"/>
      <c r="R113" s="56">
        <f>ROUND(Q$112*F113,0)</f>
        <v>722118</v>
      </c>
      <c r="S113" s="12"/>
      <c r="T113" s="8"/>
    </row>
    <row r="114" spans="1:20" ht="19.899999999999999" customHeight="1">
      <c r="A114" s="63" t="s">
        <v>143</v>
      </c>
      <c r="B114" s="64"/>
      <c r="E114" s="64">
        <f>VLOOKUP($A114,Population_2020,2,FALSE)</f>
        <v>47044</v>
      </c>
      <c r="F114" s="32">
        <f>ROUND((E114/$B$112),4)</f>
        <v>6.5799999999999997E-2</v>
      </c>
      <c r="G114" s="66"/>
      <c r="H114" s="14"/>
      <c r="J114" s="67"/>
      <c r="K114" s="14"/>
      <c r="M114" s="10"/>
      <c r="N114" s="68" t="s">
        <v>68</v>
      </c>
      <c r="O114" s="10"/>
      <c r="P114" s="69" t="s">
        <v>143</v>
      </c>
      <c r="Q114" s="56"/>
      <c r="R114" s="56">
        <f>ROUND(Q$112*F114,0)</f>
        <v>310965</v>
      </c>
      <c r="S114" s="12"/>
      <c r="T114" s="8"/>
    </row>
    <row r="115" spans="1:20" ht="19.899999999999999" customHeight="1">
      <c r="A115" s="24" t="s">
        <v>70</v>
      </c>
      <c r="B115" s="51">
        <f>VLOOKUP(A115,Population_2020,2)</f>
        <v>73723</v>
      </c>
      <c r="C115" s="25">
        <f>ROUND(B115/$B$137,4)</f>
        <v>3.8999999999999998E-3</v>
      </c>
      <c r="D115" s="25">
        <f>ROUND(B115/$B$136,4)</f>
        <v>3.3999999999999998E-3</v>
      </c>
      <c r="E115" s="51"/>
      <c r="F115" s="70">
        <v>1</v>
      </c>
      <c r="G115" s="52">
        <f>ROUND($G$12*C115,0)</f>
        <v>182214</v>
      </c>
      <c r="H115" s="43">
        <f>IF(G115&gt;H$11,(G115-H$11),0)</f>
        <v>66049</v>
      </c>
      <c r="I115" s="25">
        <f>IF(H115&gt;0,ROUND(H115/$H$136,4),0)</f>
        <v>1.6000000000000001E-3</v>
      </c>
      <c r="J115" s="53">
        <f>ROUND($J$12*D115,0)</f>
        <v>319764</v>
      </c>
      <c r="K115" s="43">
        <f>IF(J115&gt;K$11,(J115-K$11),0)</f>
        <v>85929</v>
      </c>
      <c r="L115" s="25">
        <f>IF(K115&gt;0,ROUND(K115/$K$136,4),0)</f>
        <v>1.1000000000000001E-3</v>
      </c>
      <c r="M115" s="37"/>
      <c r="N115" s="68" t="s">
        <v>70</v>
      </c>
      <c r="O115" s="37"/>
      <c r="P115" s="71" t="s">
        <v>70</v>
      </c>
      <c r="Q115" s="72">
        <f>ROUND((I115*$Q$153)+(L115*$Q$159)+$K$4,0)</f>
        <v>498707</v>
      </c>
      <c r="R115" s="72">
        <f>ROUND(Q115,0)</f>
        <v>498707</v>
      </c>
      <c r="S115" s="57"/>
      <c r="T115" s="8"/>
    </row>
    <row r="116" spans="1:20" ht="19.899999999999999" customHeight="1">
      <c r="A116" s="24" t="s">
        <v>71</v>
      </c>
      <c r="B116" s="51">
        <f>VLOOKUP(A116,Population_2020,2)</f>
        <v>261900</v>
      </c>
      <c r="C116" s="25">
        <f>ROUND(B116/$B$137,4)</f>
        <v>1.4E-2</v>
      </c>
      <c r="D116" s="25">
        <f>ROUND(B116/$B$136,4)</f>
        <v>1.21E-2</v>
      </c>
      <c r="E116" s="51"/>
      <c r="F116" s="70">
        <v>1</v>
      </c>
      <c r="G116" s="52">
        <f>ROUND($G$12*C116,0)</f>
        <v>654100</v>
      </c>
      <c r="H116" s="43">
        <f>IF(G116&gt;H$11,(G116-H$11),0)</f>
        <v>537935</v>
      </c>
      <c r="I116" s="25">
        <f>IF(H116&gt;0,ROUND(H116/$H$136,4),0)</f>
        <v>1.3299999999999999E-2</v>
      </c>
      <c r="J116" s="53">
        <f>ROUND($J$12*D116,0)</f>
        <v>1137983</v>
      </c>
      <c r="K116" s="43">
        <f>IF(J116&gt;K$11,(J116-K$11),0)</f>
        <v>904148</v>
      </c>
      <c r="L116" s="25">
        <f>IF(K116&gt;0,ROUND(K116/$K$136,4),0)</f>
        <v>1.11E-2</v>
      </c>
      <c r="M116" s="37"/>
      <c r="N116" s="68" t="s">
        <v>71</v>
      </c>
      <c r="O116" s="37"/>
      <c r="P116" s="71" t="s">
        <v>71</v>
      </c>
      <c r="Q116" s="72">
        <f>ROUND((I116*$Q$153)+(L116*$Q$159)+$K$4,0)</f>
        <v>1739458</v>
      </c>
      <c r="R116" s="72">
        <f>ROUND(Q116,0)</f>
        <v>1739458</v>
      </c>
      <c r="S116" s="57"/>
      <c r="T116" s="8"/>
    </row>
    <row r="117" spans="1:20" ht="19.899999999999999" customHeight="1">
      <c r="A117" s="24" t="s">
        <v>72</v>
      </c>
      <c r="B117" s="51">
        <f>VLOOKUP(A117,Population_2020,2)</f>
        <v>322265</v>
      </c>
      <c r="C117" s="25">
        <f>ROUND(B117/$B$137,4)</f>
        <v>1.72E-2</v>
      </c>
      <c r="D117" s="25">
        <f>ROUND(B117/$B$136,4)</f>
        <v>1.49E-2</v>
      </c>
      <c r="E117" s="51"/>
      <c r="F117" s="70">
        <f>1-SUM(F118:F119)</f>
        <v>0.23239999999999994</v>
      </c>
      <c r="G117" s="52">
        <f>ROUND($G$12*C117,0)</f>
        <v>803609</v>
      </c>
      <c r="H117" s="43">
        <f>IF(G117&gt;H$11,(G117-H$11),0)</f>
        <v>687444</v>
      </c>
      <c r="I117" s="25">
        <f>IF(H117&gt;0,ROUND(H117/$H$136,4),0)</f>
        <v>1.7000000000000001E-2</v>
      </c>
      <c r="J117" s="53">
        <f>ROUND($J$12*D117,0)</f>
        <v>1401318</v>
      </c>
      <c r="K117" s="43">
        <f>IF(J117&gt;K$11,(J117-K$11),0)</f>
        <v>1167483</v>
      </c>
      <c r="L117" s="25">
        <f>IF(K117&gt;0,ROUND(K117/$K$136,4),0)</f>
        <v>1.43E-2</v>
      </c>
      <c r="M117" s="37"/>
      <c r="N117" s="38" t="s">
        <v>72</v>
      </c>
      <c r="O117" s="37"/>
      <c r="P117" s="71" t="s">
        <v>72</v>
      </c>
      <c r="Q117" s="72">
        <f>ROUND((I117*$Q$153)+(L117*$Q$159)+$K$4,0)</f>
        <v>2134779</v>
      </c>
      <c r="R117" s="72">
        <f>ROUND(Q117-SUM(R118:R119),0)</f>
        <v>496122</v>
      </c>
      <c r="S117" s="57"/>
      <c r="T117" s="8"/>
    </row>
    <row r="118" spans="1:20" ht="19.899999999999999" customHeight="1">
      <c r="A118" s="114" t="s">
        <v>607</v>
      </c>
      <c r="B118" s="64"/>
      <c r="E118" s="64">
        <f>VLOOKUP($A118,Population_2020,2,FALSE)</f>
        <v>44476</v>
      </c>
      <c r="F118" s="7">
        <f>ROUND((E118/$B$117),4)</f>
        <v>0.13800000000000001</v>
      </c>
      <c r="G118" s="66"/>
      <c r="H118" s="14"/>
      <c r="J118" s="67"/>
      <c r="K118" s="14"/>
      <c r="M118" s="10"/>
      <c r="N118" s="38" t="s">
        <v>72</v>
      </c>
      <c r="O118" s="10"/>
      <c r="P118" s="146" t="s">
        <v>607</v>
      </c>
      <c r="Q118" s="56"/>
      <c r="R118" s="56">
        <f>ROUND(Q$117*F118,0)</f>
        <v>294600</v>
      </c>
      <c r="S118" s="12"/>
      <c r="T118" s="8"/>
    </row>
    <row r="119" spans="1:20" ht="19.899999999999999" customHeight="1">
      <c r="A119" s="63" t="s">
        <v>73</v>
      </c>
      <c r="B119" s="64"/>
      <c r="E119" s="64">
        <f>VLOOKUP($A119,Population_2020,2,FALSE)</f>
        <v>202914</v>
      </c>
      <c r="F119" s="32">
        <f>ROUND((E119/$B$117),4)</f>
        <v>0.62960000000000005</v>
      </c>
      <c r="G119" s="66"/>
      <c r="H119" s="14"/>
      <c r="J119" s="67"/>
      <c r="K119" s="14"/>
      <c r="M119" s="10"/>
      <c r="N119" s="68" t="s">
        <v>72</v>
      </c>
      <c r="O119" s="10"/>
      <c r="P119" s="69" t="s">
        <v>73</v>
      </c>
      <c r="Q119" s="56"/>
      <c r="R119" s="56">
        <f>ROUND(Q$117*F119,0)</f>
        <v>1344057</v>
      </c>
      <c r="S119" s="12"/>
      <c r="T119" s="8"/>
    </row>
    <row r="120" spans="1:20" ht="19.899999999999999" customHeight="1">
      <c r="A120" s="24" t="s">
        <v>74</v>
      </c>
      <c r="B120" s="51">
        <f>VLOOKUP(A120,Population_2020,2)</f>
        <v>184653</v>
      </c>
      <c r="C120" s="25">
        <f>ROUND(B120/$B$137,4)</f>
        <v>9.7999999999999997E-3</v>
      </c>
      <c r="D120" s="25">
        <f>ROUND(B120/$B$136,4)</f>
        <v>8.6E-3</v>
      </c>
      <c r="E120" s="51"/>
      <c r="F120" s="70">
        <v>1</v>
      </c>
      <c r="G120" s="52">
        <f>ROUND($G$12*C120,0)</f>
        <v>457870</v>
      </c>
      <c r="H120" s="43">
        <f>IF(G120&gt;H$11,(G120-H$11),0)</f>
        <v>341705</v>
      </c>
      <c r="I120" s="25">
        <f>IF(H120&gt;0,ROUND(H120/$H$136,4),0)</f>
        <v>8.5000000000000006E-3</v>
      </c>
      <c r="J120" s="53">
        <f>ROUND($J$12*D120,0)</f>
        <v>808815</v>
      </c>
      <c r="K120" s="43">
        <f>IF(J120&gt;K$11,(J120-K$11),0)</f>
        <v>574980</v>
      </c>
      <c r="L120" s="25">
        <f>IF(K120&gt;0,ROUND(K120/$K$136,4),0)</f>
        <v>7.0000000000000001E-3</v>
      </c>
      <c r="M120" s="37"/>
      <c r="N120" s="68" t="s">
        <v>74</v>
      </c>
      <c r="O120" s="37"/>
      <c r="P120" s="71" t="s">
        <v>74</v>
      </c>
      <c r="Q120" s="72">
        <f>ROUND((I120*$Q$153)+(L120*$Q$159)+$K$4,0)</f>
        <v>1230633</v>
      </c>
      <c r="R120" s="72">
        <f>ROUND(Q120,0)</f>
        <v>1230633</v>
      </c>
      <c r="S120" s="57"/>
      <c r="T120" s="8"/>
    </row>
    <row r="121" spans="1:20" ht="19.899999999999999" customHeight="1">
      <c r="A121" s="24" t="s">
        <v>75</v>
      </c>
      <c r="B121" s="51">
        <f>VLOOKUP(A121,Population_2020,2)</f>
        <v>438816</v>
      </c>
      <c r="C121" s="25">
        <f>ROUND(B121/$B$137,4)</f>
        <v>2.3400000000000001E-2</v>
      </c>
      <c r="D121" s="25">
        <f>ROUND(B121/$B$136,4)</f>
        <v>2.0299999999999999E-2</v>
      </c>
      <c r="E121" s="51"/>
      <c r="F121" s="70">
        <f>1-SUM(F122:F122)</f>
        <v>0.86850000000000005</v>
      </c>
      <c r="G121" s="52">
        <f>ROUND($G$12*C121,0)</f>
        <v>1093282</v>
      </c>
      <c r="H121" s="43">
        <f>IF(G121&gt;H$11,(G121-H$11),0)</f>
        <v>977117</v>
      </c>
      <c r="I121" s="25">
        <f>IF(H121&gt;0,ROUND(H121/$H$136,4),0)</f>
        <v>2.4199999999999999E-2</v>
      </c>
      <c r="J121" s="53">
        <f>ROUND($J$12*D121,0)</f>
        <v>1909179</v>
      </c>
      <c r="K121" s="43">
        <f>IF(J121&gt;K$11,(J121-K$11),0)</f>
        <v>1675344</v>
      </c>
      <c r="L121" s="25">
        <f>IF(K121&gt;0,ROUND(K121/$K$136,4),0)</f>
        <v>2.0500000000000001E-2</v>
      </c>
      <c r="M121" s="37"/>
      <c r="N121" s="38" t="s">
        <v>75</v>
      </c>
      <c r="O121" s="37"/>
      <c r="P121" s="71" t="s">
        <v>75</v>
      </c>
      <c r="Q121" s="72">
        <f>ROUND((I121*$Q$153)+(L121*$Q$159)+$K$4,0)</f>
        <v>2901936</v>
      </c>
      <c r="R121" s="72">
        <f>ROUND(Q121-SUM(R122:R122),0)</f>
        <v>2520331</v>
      </c>
      <c r="S121" s="57"/>
      <c r="T121" s="8"/>
    </row>
    <row r="122" spans="1:20" ht="19.899999999999999" customHeight="1">
      <c r="A122" s="114" t="s">
        <v>144</v>
      </c>
      <c r="B122" s="64"/>
      <c r="E122" s="64">
        <f>VLOOKUP($A122,Population_2020,2,FALSE)</f>
        <v>57683</v>
      </c>
      <c r="F122" s="32">
        <f>ROUND((E122/$B$121),4)</f>
        <v>0.13150000000000001</v>
      </c>
      <c r="G122" s="66"/>
      <c r="H122" s="14"/>
      <c r="J122" s="67"/>
      <c r="K122" s="14"/>
      <c r="M122" s="10"/>
      <c r="N122" s="68" t="s">
        <v>75</v>
      </c>
      <c r="O122" s="10"/>
      <c r="P122" s="146" t="s">
        <v>144</v>
      </c>
      <c r="Q122" s="56"/>
      <c r="R122" s="56">
        <f>ROUND(Q$121*F122,0)</f>
        <v>381605</v>
      </c>
      <c r="S122" s="12"/>
      <c r="T122" s="8"/>
    </row>
    <row r="123" spans="1:20" ht="19.899999999999999" customHeight="1">
      <c r="A123" s="24" t="s">
        <v>76</v>
      </c>
      <c r="B123" s="51">
        <f t="shared" ref="B123:B128" si="25">VLOOKUP(A123,Population_2020,2)</f>
        <v>476727</v>
      </c>
      <c r="C123" s="25">
        <f t="shared" ref="C123:C128" si="26">ROUND(B123/$B$137,4)</f>
        <v>2.5399999999999999E-2</v>
      </c>
      <c r="D123" s="25">
        <f t="shared" ref="D123:D128" si="27">ROUND(B123/$B$136,4)</f>
        <v>2.2100000000000002E-2</v>
      </c>
      <c r="E123" s="51"/>
      <c r="F123" s="70">
        <v>1</v>
      </c>
      <c r="G123" s="52">
        <f t="shared" ref="G123:G128" si="28">ROUND($G$12*C123,0)</f>
        <v>1186725</v>
      </c>
      <c r="H123" s="43">
        <f t="shared" ref="H123:H128" si="29">IF(G123&gt;H$11,(G123-H$11),0)</f>
        <v>1070560</v>
      </c>
      <c r="I123" s="25">
        <f t="shared" ref="I123:I127" si="30">IF(H123&gt;0,ROUND(H123/$H$136,4),0)</f>
        <v>2.6499999999999999E-2</v>
      </c>
      <c r="J123" s="53">
        <f t="shared" ref="J123:J128" si="31">ROUND($J$12*D123,0)</f>
        <v>2078465</v>
      </c>
      <c r="K123" s="43">
        <f t="shared" ref="K123:K128" si="32">IF(J123&gt;K$11,(J123-K$11),0)</f>
        <v>1844630</v>
      </c>
      <c r="L123" s="25">
        <f t="shared" ref="L123:L128" si="33">IF(K123&gt;0,ROUND(K123/$K$136,4),0)</f>
        <v>2.2599999999999999E-2</v>
      </c>
      <c r="M123" s="37"/>
      <c r="N123" s="38" t="s">
        <v>76</v>
      </c>
      <c r="O123" s="37"/>
      <c r="P123" s="71" t="s">
        <v>76</v>
      </c>
      <c r="Q123" s="72">
        <f t="shared" ref="Q123:Q128" si="34">ROUND((I123*$Q$153)+(L123*$Q$159)+$K$4,0)</f>
        <v>3156362</v>
      </c>
      <c r="R123" s="72">
        <f>ROUND(Q123,0)</f>
        <v>3156362</v>
      </c>
      <c r="S123" s="57"/>
      <c r="T123" s="8"/>
    </row>
    <row r="124" spans="1:20" ht="19.899999999999999" customHeight="1">
      <c r="A124" s="24" t="s">
        <v>77</v>
      </c>
      <c r="B124" s="51">
        <f t="shared" si="25"/>
        <v>141422</v>
      </c>
      <c r="C124" s="25">
        <f t="shared" si="26"/>
        <v>7.4999999999999997E-3</v>
      </c>
      <c r="D124" s="25">
        <f t="shared" si="27"/>
        <v>6.4999999999999997E-3</v>
      </c>
      <c r="E124" s="51"/>
      <c r="F124" s="70">
        <v>1</v>
      </c>
      <c r="G124" s="52">
        <f t="shared" si="28"/>
        <v>350411</v>
      </c>
      <c r="H124" s="43">
        <f t="shared" si="29"/>
        <v>234246</v>
      </c>
      <c r="I124" s="25">
        <f t="shared" si="30"/>
        <v>5.7999999999999996E-3</v>
      </c>
      <c r="J124" s="53">
        <f t="shared" si="31"/>
        <v>611313</v>
      </c>
      <c r="K124" s="43">
        <f t="shared" si="32"/>
        <v>377478</v>
      </c>
      <c r="L124" s="25">
        <f t="shared" si="33"/>
        <v>4.5999999999999999E-3</v>
      </c>
      <c r="M124" s="37"/>
      <c r="N124" s="68" t="s">
        <v>77</v>
      </c>
      <c r="O124" s="37"/>
      <c r="P124" s="71" t="s">
        <v>77</v>
      </c>
      <c r="Q124" s="72">
        <f t="shared" si="34"/>
        <v>937070</v>
      </c>
      <c r="R124" s="72">
        <f>ROUND(Q124,0)</f>
        <v>937070</v>
      </c>
      <c r="S124" s="57"/>
      <c r="T124" s="8"/>
    </row>
    <row r="125" spans="1:20" ht="19.899999999999999" customHeight="1">
      <c r="A125" s="24" t="s">
        <v>78</v>
      </c>
      <c r="B125" s="51">
        <f t="shared" si="25"/>
        <v>45463</v>
      </c>
      <c r="C125" s="25">
        <f t="shared" si="26"/>
        <v>2.3999999999999998E-3</v>
      </c>
      <c r="D125" s="25">
        <f t="shared" si="27"/>
        <v>2.0999999999999999E-3</v>
      </c>
      <c r="E125" s="51"/>
      <c r="F125" s="70">
        <v>1</v>
      </c>
      <c r="G125" s="52">
        <f t="shared" si="28"/>
        <v>112131</v>
      </c>
      <c r="H125" s="43">
        <f t="shared" si="29"/>
        <v>0</v>
      </c>
      <c r="I125" s="25">
        <f t="shared" si="30"/>
        <v>0</v>
      </c>
      <c r="J125" s="53">
        <f t="shared" si="31"/>
        <v>197501</v>
      </c>
      <c r="K125" s="43">
        <f t="shared" si="32"/>
        <v>0</v>
      </c>
      <c r="L125" s="25">
        <f t="shared" si="33"/>
        <v>0</v>
      </c>
      <c r="M125" s="37"/>
      <c r="N125" s="68" t="s">
        <v>78</v>
      </c>
      <c r="O125" s="37"/>
      <c r="P125" s="71" t="s">
        <v>78</v>
      </c>
      <c r="Q125" s="72">
        <f t="shared" si="34"/>
        <v>350000</v>
      </c>
      <c r="R125" s="72">
        <f>ROUND(Q125,0)</f>
        <v>350000</v>
      </c>
      <c r="S125" s="57"/>
      <c r="T125" s="8"/>
    </row>
    <row r="126" spans="1:20" ht="19.899999999999999" customHeight="1">
      <c r="A126" s="24" t="s">
        <v>79</v>
      </c>
      <c r="B126" s="51">
        <f t="shared" si="25"/>
        <v>22436</v>
      </c>
      <c r="C126" s="25">
        <f t="shared" si="26"/>
        <v>1.1999999999999999E-3</v>
      </c>
      <c r="D126" s="25">
        <f t="shared" si="27"/>
        <v>1E-3</v>
      </c>
      <c r="E126" s="51"/>
      <c r="F126" s="70">
        <v>1</v>
      </c>
      <c r="G126" s="52">
        <f t="shared" si="28"/>
        <v>56066</v>
      </c>
      <c r="H126" s="43">
        <f t="shared" si="29"/>
        <v>0</v>
      </c>
      <c r="I126" s="25">
        <f t="shared" si="30"/>
        <v>0</v>
      </c>
      <c r="J126" s="53">
        <f t="shared" si="31"/>
        <v>94048</v>
      </c>
      <c r="K126" s="43">
        <f t="shared" si="32"/>
        <v>0</v>
      </c>
      <c r="L126" s="25">
        <f t="shared" si="33"/>
        <v>0</v>
      </c>
      <c r="M126" s="37"/>
      <c r="N126" s="68" t="s">
        <v>79</v>
      </c>
      <c r="O126" s="37"/>
      <c r="P126" s="71" t="s">
        <v>79</v>
      </c>
      <c r="Q126" s="72">
        <f t="shared" si="34"/>
        <v>350000</v>
      </c>
      <c r="R126" s="72">
        <f>ROUND(Q126,0)</f>
        <v>350000</v>
      </c>
      <c r="S126" s="57"/>
      <c r="T126" s="8"/>
    </row>
    <row r="127" spans="1:20" ht="19.899999999999999" customHeight="1">
      <c r="A127" s="24" t="s">
        <v>80</v>
      </c>
      <c r="B127" s="51">
        <f t="shared" si="25"/>
        <v>15410</v>
      </c>
      <c r="C127" s="25">
        <f t="shared" si="26"/>
        <v>8.0000000000000004E-4</v>
      </c>
      <c r="D127" s="25">
        <f t="shared" si="27"/>
        <v>6.9999999999999999E-4</v>
      </c>
      <c r="E127" s="51"/>
      <c r="F127" s="70">
        <v>1</v>
      </c>
      <c r="G127" s="52">
        <f t="shared" si="28"/>
        <v>37377</v>
      </c>
      <c r="H127" s="43">
        <f t="shared" si="29"/>
        <v>0</v>
      </c>
      <c r="I127" s="25">
        <f t="shared" si="30"/>
        <v>0</v>
      </c>
      <c r="J127" s="53">
        <f t="shared" si="31"/>
        <v>65834</v>
      </c>
      <c r="K127" s="43">
        <f t="shared" si="32"/>
        <v>0</v>
      </c>
      <c r="L127" s="25">
        <f t="shared" si="33"/>
        <v>0</v>
      </c>
      <c r="M127" s="37"/>
      <c r="N127" s="68" t="s">
        <v>80</v>
      </c>
      <c r="O127" s="37"/>
      <c r="P127" s="71" t="s">
        <v>80</v>
      </c>
      <c r="Q127" s="72">
        <f t="shared" si="34"/>
        <v>350000</v>
      </c>
      <c r="R127" s="72">
        <f>ROUND(Q127,0)</f>
        <v>350000</v>
      </c>
      <c r="S127" s="57"/>
      <c r="T127" s="8"/>
    </row>
    <row r="128" spans="1:20" ht="19.899999999999999" customHeight="1">
      <c r="A128" s="24" t="s">
        <v>81</v>
      </c>
      <c r="B128" s="51">
        <f t="shared" si="25"/>
        <v>551588</v>
      </c>
      <c r="C128" s="25">
        <f t="shared" si="26"/>
        <v>2.9399999999999999E-2</v>
      </c>
      <c r="D128" s="25">
        <f t="shared" si="27"/>
        <v>2.5499999999999998E-2</v>
      </c>
      <c r="E128" s="51"/>
      <c r="F128" s="70">
        <f>1-SUM(F129:F130)</f>
        <v>0.70289999999999997</v>
      </c>
      <c r="G128" s="52">
        <f t="shared" si="28"/>
        <v>1373611</v>
      </c>
      <c r="H128" s="43">
        <f t="shared" si="29"/>
        <v>1257446</v>
      </c>
      <c r="I128" s="25">
        <f>IF(H128&gt;0,ROUND(H128/$H$136,4),0)</f>
        <v>3.1099999999999999E-2</v>
      </c>
      <c r="J128" s="53">
        <f t="shared" si="31"/>
        <v>2398229</v>
      </c>
      <c r="K128" s="43">
        <f t="shared" si="32"/>
        <v>2164394</v>
      </c>
      <c r="L128" s="25">
        <f t="shared" si="33"/>
        <v>2.6499999999999999E-2</v>
      </c>
      <c r="M128" s="37"/>
      <c r="N128" s="38" t="s">
        <v>81</v>
      </c>
      <c r="O128" s="37"/>
      <c r="P128" s="71" t="s">
        <v>81</v>
      </c>
      <c r="Q128" s="72">
        <f t="shared" si="34"/>
        <v>3641700</v>
      </c>
      <c r="R128" s="72">
        <f>ROUND(Q128-SUM(R129:R130),0)</f>
        <v>2559751</v>
      </c>
      <c r="S128" s="57"/>
      <c r="T128" s="8"/>
    </row>
    <row r="129" spans="1:44" ht="19.899999999999999" customHeight="1">
      <c r="A129" s="63" t="s">
        <v>82</v>
      </c>
      <c r="B129" s="64"/>
      <c r="E129" s="64">
        <f>VLOOKUP($A129,Population_2020,2,FALSE)</f>
        <v>70235</v>
      </c>
      <c r="F129" s="7">
        <f>ROUND((E129/$B$128),4)</f>
        <v>0.1273</v>
      </c>
      <c r="G129" s="66"/>
      <c r="H129" s="14"/>
      <c r="J129" s="67"/>
      <c r="K129" s="14"/>
      <c r="M129" s="10"/>
      <c r="N129" s="38" t="s">
        <v>81</v>
      </c>
      <c r="O129" s="10"/>
      <c r="P129" s="69" t="s">
        <v>82</v>
      </c>
      <c r="Q129" s="56"/>
      <c r="R129" s="56">
        <f>ROUND(Q$128*F129,0)</f>
        <v>463588</v>
      </c>
      <c r="S129" s="12"/>
      <c r="T129" s="8"/>
    </row>
    <row r="130" spans="1:44" ht="19.899999999999999" customHeight="1">
      <c r="A130" s="63" t="s">
        <v>83</v>
      </c>
      <c r="B130" s="64"/>
      <c r="E130" s="64">
        <f>VLOOKUP($A130,Population_2020,2,FALSE)</f>
        <v>93677</v>
      </c>
      <c r="F130" s="115">
        <f>ROUND((E130/$B$128),4)</f>
        <v>0.16980000000000001</v>
      </c>
      <c r="G130" s="66"/>
      <c r="H130" s="14"/>
      <c r="J130" s="67"/>
      <c r="K130" s="14"/>
      <c r="M130" s="10"/>
      <c r="N130" s="68" t="s">
        <v>81</v>
      </c>
      <c r="O130" s="10"/>
      <c r="P130" s="89" t="s">
        <v>83</v>
      </c>
      <c r="Q130" s="56"/>
      <c r="R130" s="56">
        <f>ROUND(Q$128*F130,0)</f>
        <v>618361</v>
      </c>
      <c r="S130" s="12"/>
      <c r="T130" s="8"/>
    </row>
    <row r="131" spans="1:44" ht="19.899999999999999" customHeight="1">
      <c r="A131" s="24" t="s">
        <v>84</v>
      </c>
      <c r="B131" s="51">
        <f>VLOOKUP(A131,Population_2020,2)</f>
        <v>33981</v>
      </c>
      <c r="C131" s="25">
        <f>ROUND(B131/$B$137,4)</f>
        <v>1.8E-3</v>
      </c>
      <c r="D131" s="25">
        <f>ROUND(B131/$B$136,4)</f>
        <v>1.6000000000000001E-3</v>
      </c>
      <c r="E131" s="51"/>
      <c r="F131" s="70">
        <v>1</v>
      </c>
      <c r="G131" s="52">
        <f>ROUND($G$12*C131,0)</f>
        <v>84099</v>
      </c>
      <c r="H131" s="43">
        <f>IF(G131&gt;H$11,(G131-H$11),0)</f>
        <v>0</v>
      </c>
      <c r="I131" s="25">
        <f>IF(H131&gt;0,ROUND(H131/$H$136,4),0)</f>
        <v>0</v>
      </c>
      <c r="J131" s="53">
        <f>ROUND($J$12*D131,0)</f>
        <v>150477</v>
      </c>
      <c r="K131" s="43">
        <f>IF(J131&gt;K$11,(J131-K$11),0)</f>
        <v>0</v>
      </c>
      <c r="L131" s="25">
        <f>IF(K131&gt;0,ROUND(K131/$K$136,4),0)</f>
        <v>0</v>
      </c>
      <c r="M131" s="37"/>
      <c r="N131" s="68" t="s">
        <v>84</v>
      </c>
      <c r="O131" s="37"/>
      <c r="P131" s="71" t="s">
        <v>84</v>
      </c>
      <c r="Q131" s="72">
        <f>ROUND((I131*$Q$153)+(L131*$Q$159)+$K$4,0)</f>
        <v>350000</v>
      </c>
      <c r="R131" s="72">
        <f>ROUND(Q131,0)</f>
        <v>350000</v>
      </c>
      <c r="S131" s="57"/>
      <c r="T131" s="8"/>
    </row>
    <row r="132" spans="1:44" ht="19.899999999999999" customHeight="1">
      <c r="A132" s="24" t="s">
        <v>85</v>
      </c>
      <c r="B132" s="51">
        <f>VLOOKUP(A132,Population_2020,2)</f>
        <v>74724</v>
      </c>
      <c r="C132" s="25">
        <f>ROUND(B132/$B$137,4)</f>
        <v>4.0000000000000001E-3</v>
      </c>
      <c r="D132" s="25">
        <f>ROUND(B132/$B$136,4)</f>
        <v>3.5000000000000001E-3</v>
      </c>
      <c r="E132" s="51"/>
      <c r="F132" s="70">
        <v>1</v>
      </c>
      <c r="G132" s="52">
        <f>ROUND($G$12*C132,0)</f>
        <v>186886</v>
      </c>
      <c r="H132" s="43">
        <f>IF(G132&gt;H$11,(G132-H$11),0)</f>
        <v>70721</v>
      </c>
      <c r="I132" s="25">
        <f>IF(H132&gt;0,ROUND(H132/$H$136,4),0)</f>
        <v>1.6999999999999999E-3</v>
      </c>
      <c r="J132" s="53">
        <f>ROUND($J$12*D132,0)</f>
        <v>329169</v>
      </c>
      <c r="K132" s="43">
        <f>IF(J132&gt;K$11,(J132-K$11),0)</f>
        <v>95334</v>
      </c>
      <c r="L132" s="25">
        <f>IF(K132&gt;0,ROUND(K132/$K$136,4),0)</f>
        <v>1.1999999999999999E-3</v>
      </c>
      <c r="M132" s="37"/>
      <c r="N132" s="68" t="s">
        <v>85</v>
      </c>
      <c r="O132" s="37"/>
      <c r="P132" s="71" t="s">
        <v>85</v>
      </c>
      <c r="Q132" s="72">
        <f>ROUND((I132*$Q$153)+(L132*$Q$159)+$K$4,0)</f>
        <v>510450</v>
      </c>
      <c r="R132" s="72">
        <f>ROUND(Q132,0)</f>
        <v>510450</v>
      </c>
      <c r="S132" s="57"/>
      <c r="T132" s="8"/>
    </row>
    <row r="133" spans="1:44" ht="19.899999999999999" customHeight="1">
      <c r="A133" s="24" t="s">
        <v>86</v>
      </c>
      <c r="B133" s="51">
        <f>VLOOKUP(A133,Population_2020,2)</f>
        <v>25334</v>
      </c>
      <c r="C133" s="25">
        <f>ROUND(B133/$B$137,4)</f>
        <v>1.4E-3</v>
      </c>
      <c r="D133" s="25">
        <f>ROUND(B133/$B$136,4)</f>
        <v>1.1999999999999999E-3</v>
      </c>
      <c r="E133" s="51"/>
      <c r="F133" s="70">
        <v>1</v>
      </c>
      <c r="G133" s="52">
        <f>ROUND($G$12*C133,0)</f>
        <v>65410</v>
      </c>
      <c r="H133" s="43">
        <f>IF(G133&gt;H$11,(G133-H$11),0)</f>
        <v>0</v>
      </c>
      <c r="I133" s="25">
        <f>IF(H133&gt;0,ROUND(H133/$H$136,4),0)</f>
        <v>0</v>
      </c>
      <c r="J133" s="53">
        <f>ROUND($J$12*D133,0)</f>
        <v>112858</v>
      </c>
      <c r="K133" s="43">
        <f>IF(J133&gt;K$11,(J133-K$11),0)</f>
        <v>0</v>
      </c>
      <c r="L133" s="25">
        <f>IF(K133&gt;0,ROUND(K133/$K$136,4),0)</f>
        <v>0</v>
      </c>
      <c r="M133" s="37"/>
      <c r="N133" s="68" t="s">
        <v>86</v>
      </c>
      <c r="O133" s="37"/>
      <c r="P133" s="71" t="s">
        <v>86</v>
      </c>
      <c r="Q133" s="72">
        <f>ROUND((I133*$Q$153)+(L133*$Q$159)+$K$4,0)</f>
        <v>350000</v>
      </c>
      <c r="R133" s="72">
        <f>ROUND(Q133,0)</f>
        <v>350000</v>
      </c>
      <c r="S133" s="57"/>
      <c r="T133" s="8"/>
    </row>
    <row r="134" spans="1:44" ht="30" customHeight="1" thickBot="1">
      <c r="A134" s="24"/>
      <c r="B134" s="43"/>
      <c r="C134" s="25"/>
      <c r="D134" s="25"/>
      <c r="E134" s="43"/>
      <c r="F134" s="25"/>
      <c r="G134" s="52"/>
      <c r="H134" s="43"/>
      <c r="I134" s="25"/>
      <c r="J134" s="53"/>
      <c r="K134" s="43"/>
      <c r="L134" s="25"/>
      <c r="M134" s="37"/>
      <c r="N134" s="38"/>
      <c r="O134" s="37"/>
      <c r="P134" s="116" t="s">
        <v>145</v>
      </c>
      <c r="Q134" s="117">
        <f>SUM(Q13:Q133)</f>
        <v>140769650</v>
      </c>
      <c r="R134" s="117">
        <f>ROUND(SUM(R13:R133),2)</f>
        <v>140769650</v>
      </c>
      <c r="S134" s="57" t="s">
        <v>87</v>
      </c>
    </row>
    <row r="135" spans="1:44" ht="15" customHeight="1" thickTop="1">
      <c r="A135" s="20"/>
      <c r="B135" s="14"/>
      <c r="E135" s="14"/>
      <c r="F135" s="7"/>
      <c r="G135" s="66"/>
      <c r="H135" s="14"/>
      <c r="J135" s="67"/>
      <c r="K135" s="14"/>
      <c r="M135" s="3" t="s">
        <v>87</v>
      </c>
      <c r="N135" s="118"/>
      <c r="P135" s="119"/>
      <c r="Q135" s="119">
        <f>COUNTA(Q13:Q133)</f>
        <v>67</v>
      </c>
      <c r="R135" s="119">
        <f>COUNTA(R13:R133)</f>
        <v>120</v>
      </c>
      <c r="S135" s="12"/>
    </row>
    <row r="136" spans="1:44" ht="15" customHeight="1">
      <c r="A136" s="120" t="s">
        <v>146</v>
      </c>
      <c r="B136" s="121">
        <f>SUM(B13:B133)</f>
        <v>21596068</v>
      </c>
      <c r="C136" s="7">
        <f>SUM(C13:C133)</f>
        <v>1</v>
      </c>
      <c r="D136" s="7">
        <f>SUM(D13:D133)</f>
        <v>1.0000000000000002</v>
      </c>
      <c r="E136" s="121">
        <f>SUM(E13:E133)</f>
        <v>6119371</v>
      </c>
      <c r="F136" s="7"/>
      <c r="G136" s="66">
        <f>SUM(G13:G133)</f>
        <v>46721447</v>
      </c>
      <c r="H136" s="14">
        <f t="shared" ref="H136:L136" si="35">SUM(H13:H133)</f>
        <v>40431531</v>
      </c>
      <c r="I136" s="7">
        <f>SUM(I13:I133)</f>
        <v>1.0000000000000002</v>
      </c>
      <c r="J136" s="67">
        <f t="shared" si="35"/>
        <v>94048203</v>
      </c>
      <c r="K136" s="14">
        <f t="shared" si="35"/>
        <v>81611305</v>
      </c>
      <c r="L136" s="7">
        <f t="shared" si="35"/>
        <v>1</v>
      </c>
      <c r="N136" s="122"/>
      <c r="Q136" s="14">
        <f>I6</f>
        <v>140769650</v>
      </c>
      <c r="R136" s="123"/>
      <c r="S136" s="12"/>
    </row>
    <row r="137" spans="1:44" ht="15" customHeight="1">
      <c r="A137" s="120" t="s">
        <v>147</v>
      </c>
      <c r="B137" s="14">
        <f>B136-B86</f>
        <v>18763274</v>
      </c>
      <c r="E137" s="14"/>
      <c r="F137" s="20"/>
      <c r="G137" s="66"/>
      <c r="H137" s="14"/>
      <c r="J137" s="124"/>
      <c r="K137" s="20"/>
      <c r="L137" s="20"/>
      <c r="Q137" s="230">
        <f>+Q136-Q134</f>
        <v>0</v>
      </c>
      <c r="R137" s="119"/>
      <c r="S137" s="12"/>
    </row>
    <row r="138" spans="1:44" s="122" customFormat="1" ht="15" customHeight="1">
      <c r="A138" s="125"/>
      <c r="B138" s="126"/>
      <c r="C138" s="127"/>
      <c r="D138" s="127"/>
      <c r="E138" s="126"/>
      <c r="F138" s="128"/>
      <c r="G138" s="129"/>
      <c r="H138" s="130"/>
      <c r="I138" s="130"/>
      <c r="J138" s="131"/>
      <c r="K138" s="125"/>
      <c r="L138" s="132"/>
      <c r="M138" s="132"/>
      <c r="O138" s="132"/>
      <c r="P138" s="132"/>
      <c r="Q138" s="133"/>
      <c r="R138" s="133"/>
      <c r="S138" s="12"/>
      <c r="AR138" s="3"/>
    </row>
    <row r="139" spans="1:44" ht="15" customHeight="1">
      <c r="A139" s="20" t="s">
        <v>148</v>
      </c>
      <c r="B139" s="134"/>
      <c r="C139" s="20"/>
      <c r="D139" s="135"/>
      <c r="E139" s="14"/>
      <c r="F139" s="136"/>
      <c r="G139" s="229">
        <f>G136-G12</f>
        <v>0</v>
      </c>
      <c r="H139" s="67"/>
      <c r="I139" s="232">
        <f>I136-1</f>
        <v>0</v>
      </c>
      <c r="J139" s="229">
        <f>J136-J12</f>
        <v>0</v>
      </c>
      <c r="K139" s="20"/>
      <c r="L139" s="232">
        <f>L136-1</f>
        <v>0</v>
      </c>
      <c r="N139" s="137"/>
      <c r="Q139" s="8"/>
      <c r="R139" s="119"/>
      <c r="S139" s="12"/>
    </row>
    <row r="140" spans="1:44" ht="15" customHeight="1">
      <c r="B140" s="138"/>
      <c r="C140" s="139"/>
      <c r="D140" s="139"/>
      <c r="E140" s="119"/>
      <c r="F140" s="119"/>
      <c r="G140" s="138"/>
      <c r="H140" s="139"/>
      <c r="I140" s="139"/>
      <c r="J140" s="138"/>
      <c r="K140" s="139"/>
      <c r="L140" s="139"/>
      <c r="Q140" s="8"/>
      <c r="R140" s="119"/>
      <c r="S140" s="12"/>
    </row>
    <row r="141" spans="1:44" ht="15" customHeight="1">
      <c r="A141" s="105" t="s">
        <v>46</v>
      </c>
      <c r="B141" s="140"/>
      <c r="C141" s="140"/>
      <c r="D141" s="135">
        <v>-1E-4</v>
      </c>
      <c r="E141" s="119"/>
      <c r="F141" s="119"/>
      <c r="G141" s="141"/>
      <c r="H141" s="140"/>
      <c r="I141" s="142"/>
      <c r="J141" s="14">
        <v>-1</v>
      </c>
      <c r="K141" s="20"/>
      <c r="L141" s="135">
        <v>-1E-4</v>
      </c>
      <c r="N141" s="105" t="s">
        <v>46</v>
      </c>
      <c r="Q141" s="8">
        <v>-1</v>
      </c>
      <c r="S141" s="12"/>
    </row>
    <row r="142" spans="1:44" ht="15" customHeight="1">
      <c r="A142" s="105" t="s">
        <v>5</v>
      </c>
      <c r="B142" s="20"/>
      <c r="C142" s="135">
        <v>-1E-4</v>
      </c>
      <c r="D142" s="135"/>
      <c r="E142" s="119"/>
      <c r="F142" s="119"/>
      <c r="G142" s="14"/>
      <c r="H142" s="20"/>
      <c r="I142" s="135">
        <v>-1E-4</v>
      </c>
      <c r="J142" s="14">
        <v>-1</v>
      </c>
      <c r="L142" s="135">
        <v>-1E-4</v>
      </c>
      <c r="N142" s="105" t="s">
        <v>5</v>
      </c>
      <c r="Q142" s="8">
        <v>0</v>
      </c>
      <c r="S142" s="12"/>
    </row>
    <row r="143" spans="1:44" ht="15" customHeight="1">
      <c r="A143" s="105" t="s">
        <v>58</v>
      </c>
      <c r="B143" s="6"/>
      <c r="C143" s="135"/>
      <c r="D143" s="135"/>
      <c r="G143" s="14"/>
      <c r="H143" s="20"/>
      <c r="I143" s="135"/>
      <c r="J143" s="14"/>
      <c r="L143" s="135">
        <v>-1E-4</v>
      </c>
      <c r="N143" s="105" t="s">
        <v>58</v>
      </c>
      <c r="Q143" s="8">
        <v>0</v>
      </c>
      <c r="S143" s="12"/>
    </row>
    <row r="144" spans="1:44" ht="15" customHeight="1">
      <c r="A144" s="105" t="s">
        <v>27</v>
      </c>
      <c r="B144" s="6"/>
      <c r="C144" s="135"/>
      <c r="D144" s="135"/>
      <c r="G144" s="14"/>
      <c r="I144" s="135"/>
      <c r="J144" s="14"/>
      <c r="L144" s="135">
        <v>-1E-4</v>
      </c>
      <c r="N144" s="105" t="s">
        <v>27</v>
      </c>
      <c r="Q144" s="8">
        <v>0</v>
      </c>
      <c r="S144" s="12"/>
    </row>
    <row r="145" spans="1:19" ht="15" customHeight="1">
      <c r="A145" s="105" t="s">
        <v>56</v>
      </c>
      <c r="B145" s="6"/>
      <c r="C145" s="135"/>
      <c r="D145" s="135"/>
      <c r="G145" s="14"/>
      <c r="I145" s="135"/>
      <c r="N145" s="105" t="s">
        <v>56</v>
      </c>
      <c r="Q145" s="8">
        <v>0</v>
      </c>
      <c r="S145" s="12"/>
    </row>
    <row r="146" spans="1:19" ht="15" customHeight="1">
      <c r="A146" s="105" t="s">
        <v>64</v>
      </c>
      <c r="G146" s="14"/>
      <c r="I146" s="135"/>
      <c r="N146" s="105" t="s">
        <v>64</v>
      </c>
      <c r="Q146" s="8">
        <v>0</v>
      </c>
      <c r="S146" s="12"/>
    </row>
    <row r="147" spans="1:19" ht="15" customHeight="1">
      <c r="A147" s="105" t="s">
        <v>14</v>
      </c>
      <c r="G147" s="14"/>
      <c r="N147" s="105" t="s">
        <v>14</v>
      </c>
      <c r="P147" s="143"/>
      <c r="Q147" s="8">
        <v>0</v>
      </c>
      <c r="R147" s="119"/>
      <c r="S147" s="12"/>
    </row>
    <row r="148" spans="1:19" ht="15" customHeight="1">
      <c r="A148" s="105"/>
      <c r="N148" s="105"/>
      <c r="P148" s="143"/>
      <c r="Q148" s="144"/>
      <c r="R148" s="119"/>
      <c r="S148" s="12"/>
    </row>
    <row r="149" spans="1:19" ht="15" customHeight="1">
      <c r="P149" s="3" t="s">
        <v>149</v>
      </c>
      <c r="Q149" s="8"/>
      <c r="R149" s="119"/>
      <c r="S149" s="12"/>
    </row>
    <row r="150" spans="1:19" ht="15" customHeight="1">
      <c r="P150" s="3" t="s">
        <v>150</v>
      </c>
      <c r="Q150" s="8">
        <v>66</v>
      </c>
      <c r="R150" s="6"/>
      <c r="S150" s="12"/>
    </row>
    <row r="151" spans="1:19" ht="15" customHeight="1">
      <c r="P151" s="3" t="s">
        <v>151</v>
      </c>
      <c r="Q151" s="14">
        <f>H11</f>
        <v>116165</v>
      </c>
      <c r="R151" s="6">
        <f>Q151*Q150</f>
        <v>7666890</v>
      </c>
      <c r="S151" s="12"/>
    </row>
    <row r="152" spans="1:19" ht="15" customHeight="1">
      <c r="A152" s="163"/>
      <c r="B152" s="8"/>
      <c r="P152" s="3" t="s">
        <v>152</v>
      </c>
      <c r="Q152" s="14">
        <f>G12</f>
        <v>46721447</v>
      </c>
      <c r="R152" s="6"/>
      <c r="S152" s="12"/>
    </row>
    <row r="153" spans="1:19" ht="15" customHeight="1">
      <c r="A153" s="163"/>
      <c r="B153" s="138"/>
      <c r="C153" s="139"/>
      <c r="D153" s="139"/>
      <c r="E153" s="119"/>
      <c r="F153" s="119"/>
      <c r="G153" s="138"/>
      <c r="H153" s="139"/>
      <c r="I153" s="139"/>
      <c r="J153" s="138"/>
      <c r="K153" s="139"/>
      <c r="L153" s="139"/>
      <c r="P153" s="3" t="s">
        <v>153</v>
      </c>
      <c r="Q153" s="14">
        <f>ROUND(Q152-(Q151*Q150),0)</f>
        <v>39054557</v>
      </c>
      <c r="R153" s="6"/>
      <c r="S153" s="12"/>
    </row>
    <row r="154" spans="1:19" ht="15" customHeight="1">
      <c r="A154" s="163"/>
      <c r="B154" s="138"/>
      <c r="C154" s="139"/>
      <c r="D154" s="139"/>
      <c r="E154" s="119"/>
      <c r="F154" s="119"/>
      <c r="G154" s="138"/>
      <c r="H154" s="139"/>
      <c r="I154" s="139"/>
      <c r="J154" s="138"/>
      <c r="K154" s="139"/>
      <c r="L154" s="139"/>
      <c r="Q154" s="8"/>
      <c r="R154" s="6"/>
      <c r="S154" s="12"/>
    </row>
    <row r="155" spans="1:19" ht="15" customHeight="1">
      <c r="A155" s="163"/>
      <c r="B155" s="138"/>
      <c r="C155" s="139"/>
      <c r="D155" s="139"/>
      <c r="E155" s="119"/>
      <c r="F155" s="119"/>
      <c r="G155" s="138"/>
      <c r="H155" s="139"/>
      <c r="I155" s="139"/>
      <c r="J155" s="138"/>
      <c r="K155" s="139"/>
      <c r="L155" s="139"/>
      <c r="P155" s="3" t="s">
        <v>154</v>
      </c>
      <c r="Q155" s="8"/>
      <c r="S155" s="12"/>
    </row>
    <row r="156" spans="1:19" ht="15" customHeight="1">
      <c r="A156" s="163"/>
      <c r="C156" s="3"/>
      <c r="D156" s="3"/>
      <c r="G156" s="3"/>
      <c r="H156" s="3"/>
      <c r="I156" s="3"/>
      <c r="J156" s="3"/>
      <c r="K156" s="3"/>
      <c r="L156" s="3"/>
      <c r="P156" s="3" t="s">
        <v>150</v>
      </c>
      <c r="Q156" s="8">
        <f>COUNTA(L13:L133)</f>
        <v>67</v>
      </c>
      <c r="S156" s="12"/>
    </row>
    <row r="157" spans="1:19" ht="15" customHeight="1">
      <c r="A157" s="163"/>
      <c r="C157" s="3"/>
      <c r="D157" s="3"/>
      <c r="G157" s="3"/>
      <c r="H157" s="3"/>
      <c r="I157" s="3"/>
      <c r="J157" s="3"/>
      <c r="K157" s="3"/>
      <c r="L157" s="3"/>
      <c r="P157" s="3" t="s">
        <v>151</v>
      </c>
      <c r="Q157" s="14">
        <f>K11</f>
        <v>233835</v>
      </c>
      <c r="R157" s="6">
        <f>Q157*Q156</f>
        <v>15666945</v>
      </c>
      <c r="S157" s="12"/>
    </row>
    <row r="158" spans="1:19" ht="15" customHeight="1">
      <c r="A158" s="163"/>
      <c r="C158" s="3"/>
      <c r="D158" s="3"/>
      <c r="G158" s="3"/>
      <c r="H158" s="3"/>
      <c r="I158" s="3"/>
      <c r="J158" s="3"/>
      <c r="K158" s="3"/>
      <c r="L158" s="3"/>
      <c r="P158" s="3" t="s">
        <v>152</v>
      </c>
      <c r="Q158" s="14">
        <f>J12</f>
        <v>94048203</v>
      </c>
      <c r="S158" s="12"/>
    </row>
    <row r="159" spans="1:19" ht="15" customHeight="1">
      <c r="C159" s="3"/>
      <c r="D159" s="3"/>
      <c r="G159" s="3"/>
      <c r="H159" s="3"/>
      <c r="I159" s="3"/>
      <c r="J159" s="3"/>
      <c r="K159" s="3"/>
      <c r="L159" s="3"/>
      <c r="P159" s="3" t="s">
        <v>153</v>
      </c>
      <c r="Q159" s="14">
        <f>ROUND(Q158-(Q157*Q156),0)</f>
        <v>78381258</v>
      </c>
      <c r="S159" s="12"/>
    </row>
    <row r="160" spans="1:19" ht="15" customHeight="1">
      <c r="C160" s="3"/>
      <c r="D160" s="3"/>
      <c r="G160" s="3"/>
      <c r="H160" s="3"/>
      <c r="I160" s="3"/>
      <c r="J160" s="3"/>
      <c r="K160" s="3"/>
      <c r="L160" s="3"/>
      <c r="Q160" s="8"/>
      <c r="S160" s="12"/>
    </row>
    <row r="161" spans="3:19" ht="15" customHeight="1">
      <c r="C161" s="3"/>
      <c r="D161" s="3"/>
      <c r="G161" s="3"/>
      <c r="H161" s="3"/>
      <c r="I161" s="3"/>
      <c r="J161" s="3"/>
      <c r="K161" s="3"/>
      <c r="L161" s="3"/>
      <c r="P161" s="145"/>
      <c r="Q161" s="8"/>
      <c r="S161" s="12"/>
    </row>
    <row r="162" spans="3:19" ht="15" customHeight="1">
      <c r="C162" s="3"/>
      <c r="D162" s="3"/>
      <c r="G162" s="3"/>
      <c r="H162" s="3"/>
      <c r="I162" s="3"/>
      <c r="J162" s="3"/>
      <c r="K162" s="3"/>
      <c r="L162" s="3"/>
      <c r="Q162" s="8"/>
      <c r="S162" s="12" t="s">
        <v>87</v>
      </c>
    </row>
    <row r="163" spans="3:19" ht="15" customHeight="1">
      <c r="C163" s="3"/>
      <c r="D163" s="3"/>
      <c r="G163" s="3"/>
      <c r="H163" s="3"/>
      <c r="I163" s="3"/>
      <c r="J163" s="3"/>
      <c r="K163" s="3"/>
      <c r="L163" s="3"/>
      <c r="R163" s="6">
        <f>Q151+Q157</f>
        <v>350000</v>
      </c>
    </row>
    <row r="164" spans="3:19" ht="15" customHeight="1">
      <c r="C164" s="3"/>
      <c r="D164" s="3"/>
      <c r="G164" s="3"/>
      <c r="H164" s="3"/>
      <c r="I164" s="3"/>
      <c r="J164" s="3"/>
      <c r="K164" s="3"/>
      <c r="L164" s="3"/>
      <c r="R164" s="6">
        <f>Q152+Q158</f>
        <v>140769650</v>
      </c>
    </row>
    <row r="165" spans="3:19" ht="15" customHeight="1">
      <c r="C165" s="3"/>
      <c r="D165" s="3"/>
      <c r="G165" s="3"/>
      <c r="H165" s="3"/>
      <c r="I165" s="3"/>
      <c r="J165" s="3"/>
      <c r="K165" s="3"/>
      <c r="L165" s="3"/>
      <c r="R165" s="6">
        <f>Q153+Q159</f>
        <v>117435815</v>
      </c>
    </row>
    <row r="166" spans="3:19">
      <c r="C166" s="3"/>
      <c r="D166" s="3"/>
      <c r="G166" s="3"/>
      <c r="H166" s="3"/>
      <c r="I166" s="3"/>
      <c r="J166" s="3"/>
      <c r="K166" s="3"/>
      <c r="L166" s="3"/>
      <c r="R166" s="6">
        <f>R151+R157</f>
        <v>23333835</v>
      </c>
    </row>
    <row r="167" spans="3:19">
      <c r="C167" s="3"/>
      <c r="D167" s="3"/>
      <c r="G167" s="3"/>
      <c r="H167" s="3"/>
      <c r="I167" s="3"/>
      <c r="J167" s="3"/>
      <c r="K167" s="3"/>
      <c r="L167" s="3"/>
      <c r="R167" s="6">
        <f>SUM(R165:R166)</f>
        <v>140769650</v>
      </c>
    </row>
  </sheetData>
  <autoFilter ref="A10:T171" xr:uid="{00000000-0009-0000-0000-000001000000}"/>
  <mergeCells count="6">
    <mergeCell ref="P6:R6"/>
    <mergeCell ref="P7:R8"/>
    <mergeCell ref="P9:R9"/>
    <mergeCell ref="P10:P12"/>
    <mergeCell ref="Q10:Q12"/>
    <mergeCell ref="R10:R12"/>
  </mergeCells>
  <printOptions horizontalCentered="1"/>
  <pageMargins left="1" right="1" top="0.75" bottom="0.5" header="0.5" footer="0.5"/>
  <pageSetup scale="65" fitToHeight="4" orientation="landscape" r:id="rId1"/>
  <headerFooter alignWithMargins="0"/>
  <rowBreaks count="4" manualBreakCount="4">
    <brk id="43" min="15" max="17" man="1"/>
    <brk id="62" min="15" max="17" man="1"/>
    <brk id="91" min="15" max="17" man="1"/>
    <brk id="119" min="1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locked="0" defaultSize="0" autoFill="0" autoLine="0" autoPict="0">
                <anchor moveWithCells="1" sizeWithCells="1">
                  <from>
                    <xdr:col>19</xdr:col>
                    <xdr:colOff>0</xdr:colOff>
                    <xdr:row>159</xdr:row>
                    <xdr:rowOff>0</xdr:rowOff>
                  </from>
                  <to>
                    <xdr:col>19</xdr:col>
                    <xdr:colOff>0</xdr:colOff>
                    <xdr:row>159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57"/>
  <sheetViews>
    <sheetView showGridLines="0" zoomScaleNormal="100" workbookViewId="0"/>
  </sheetViews>
  <sheetFormatPr defaultColWidth="9.140625" defaultRowHeight="15"/>
  <cols>
    <col min="1" max="1" width="28.5703125" style="185" bestFit="1" customWidth="1"/>
    <col min="2" max="3" width="17.42578125" style="180" customWidth="1"/>
    <col min="4" max="6" width="17.42578125" style="184" customWidth="1"/>
    <col min="7" max="7" width="10.140625" style="179" bestFit="1" customWidth="1"/>
    <col min="8" max="8" width="54.28515625" style="179" customWidth="1"/>
    <col min="9" max="16384" width="9.140625" style="179"/>
  </cols>
  <sheetData>
    <row r="1" spans="1:10" ht="75.75" thickBot="1">
      <c r="A1" s="256"/>
      <c r="B1" s="257" t="s">
        <v>623</v>
      </c>
      <c r="C1" s="258" t="s">
        <v>525</v>
      </c>
      <c r="D1" s="257" t="s">
        <v>624</v>
      </c>
      <c r="E1" s="257" t="s">
        <v>625</v>
      </c>
      <c r="F1" s="257" t="s">
        <v>626</v>
      </c>
      <c r="H1" s="227" t="s">
        <v>614</v>
      </c>
      <c r="J1" s="188" t="s">
        <v>533</v>
      </c>
    </row>
    <row r="2" spans="1:10" ht="15.75" thickTop="1">
      <c r="A2" s="235"/>
      <c r="B2" s="249"/>
      <c r="C2" s="249"/>
      <c r="D2" s="249"/>
      <c r="E2" s="249"/>
      <c r="F2" s="249"/>
    </row>
    <row r="3" spans="1:10">
      <c r="A3" s="259" t="s">
        <v>0</v>
      </c>
      <c r="B3" s="250">
        <v>271588</v>
      </c>
      <c r="C3" s="250">
        <v>24252</v>
      </c>
      <c r="D3" s="250">
        <v>247336</v>
      </c>
      <c r="E3" s="251">
        <v>1132</v>
      </c>
      <c r="F3" s="251">
        <v>270456</v>
      </c>
      <c r="G3" s="186" t="s">
        <v>631</v>
      </c>
    </row>
    <row r="4" spans="1:10">
      <c r="A4" s="234" t="s">
        <v>515</v>
      </c>
      <c r="B4" s="252">
        <v>10470</v>
      </c>
      <c r="C4" s="252">
        <v>1411</v>
      </c>
      <c r="D4" s="252">
        <v>9059</v>
      </c>
      <c r="E4" s="253">
        <v>0</v>
      </c>
      <c r="F4" s="253">
        <v>10470</v>
      </c>
      <c r="G4" s="186"/>
      <c r="J4" s="187" t="s">
        <v>529</v>
      </c>
    </row>
    <row r="5" spans="1:10">
      <c r="A5" s="234" t="s">
        <v>510</v>
      </c>
      <c r="B5" s="252">
        <v>1204</v>
      </c>
      <c r="C5" s="252">
        <v>86</v>
      </c>
      <c r="D5" s="252">
        <v>1118</v>
      </c>
      <c r="E5" s="253">
        <v>0</v>
      </c>
      <c r="F5" s="253">
        <v>1204</v>
      </c>
      <c r="G5" s="186"/>
      <c r="J5" s="187" t="s">
        <v>526</v>
      </c>
    </row>
    <row r="6" spans="1:10">
      <c r="A6" s="234" t="s">
        <v>121</v>
      </c>
      <c r="B6" s="252">
        <v>135097</v>
      </c>
      <c r="C6" s="252">
        <v>10621</v>
      </c>
      <c r="D6" s="252">
        <v>124476</v>
      </c>
      <c r="E6" s="253">
        <v>663</v>
      </c>
      <c r="F6" s="253">
        <v>134434</v>
      </c>
      <c r="G6" s="186" t="s">
        <v>631</v>
      </c>
      <c r="J6" s="187" t="s">
        <v>527</v>
      </c>
    </row>
    <row r="7" spans="1:10">
      <c r="A7" s="234" t="s">
        <v>509</v>
      </c>
      <c r="B7" s="252">
        <v>1463</v>
      </c>
      <c r="C7" s="252">
        <v>46</v>
      </c>
      <c r="D7" s="252">
        <v>1417</v>
      </c>
      <c r="E7" s="253">
        <v>0</v>
      </c>
      <c r="F7" s="253">
        <v>1463</v>
      </c>
      <c r="G7" s="186"/>
      <c r="J7" s="179" t="s">
        <v>528</v>
      </c>
    </row>
    <row r="8" spans="1:10">
      <c r="A8" s="234" t="s">
        <v>508</v>
      </c>
      <c r="B8" s="252">
        <v>6652</v>
      </c>
      <c r="C8" s="252">
        <v>1302</v>
      </c>
      <c r="D8" s="252">
        <v>5350</v>
      </c>
      <c r="E8" s="253">
        <v>0</v>
      </c>
      <c r="F8" s="253">
        <v>6652</v>
      </c>
      <c r="G8" s="186"/>
      <c r="J8" s="179" t="s">
        <v>529</v>
      </c>
    </row>
    <row r="9" spans="1:10">
      <c r="A9" s="234" t="s">
        <v>507</v>
      </c>
      <c r="B9" s="252">
        <v>395</v>
      </c>
      <c r="C9" s="252">
        <v>35</v>
      </c>
      <c r="D9" s="252">
        <v>360</v>
      </c>
      <c r="E9" s="253">
        <v>0</v>
      </c>
      <c r="F9" s="253">
        <v>395</v>
      </c>
      <c r="G9" s="186"/>
      <c r="J9" s="187" t="s">
        <v>530</v>
      </c>
    </row>
    <row r="10" spans="1:10">
      <c r="A10" s="234" t="s">
        <v>506</v>
      </c>
      <c r="B10" s="252">
        <v>669</v>
      </c>
      <c r="C10" s="252">
        <v>69</v>
      </c>
      <c r="D10" s="252">
        <v>600</v>
      </c>
      <c r="E10" s="253">
        <v>0</v>
      </c>
      <c r="F10" s="253">
        <v>669</v>
      </c>
      <c r="G10" s="186"/>
      <c r="J10" s="245" t="s">
        <v>527</v>
      </c>
    </row>
    <row r="11" spans="1:10">
      <c r="A11" s="234" t="s">
        <v>505</v>
      </c>
      <c r="B11" s="252">
        <v>6873</v>
      </c>
      <c r="C11" s="252">
        <v>1923</v>
      </c>
      <c r="D11" s="252">
        <v>4950</v>
      </c>
      <c r="E11" s="253">
        <v>0</v>
      </c>
      <c r="F11" s="253">
        <v>6873</v>
      </c>
      <c r="G11" s="186"/>
      <c r="J11" s="187" t="s">
        <v>531</v>
      </c>
    </row>
    <row r="12" spans="1:10">
      <c r="A12" s="234" t="s">
        <v>504</v>
      </c>
      <c r="B12" s="252">
        <v>958</v>
      </c>
      <c r="C12" s="252">
        <v>-57</v>
      </c>
      <c r="D12" s="252">
        <v>1015</v>
      </c>
      <c r="E12" s="253">
        <v>0</v>
      </c>
      <c r="F12" s="253">
        <v>958</v>
      </c>
      <c r="G12" s="186"/>
      <c r="J12" s="179" t="s">
        <v>532</v>
      </c>
    </row>
    <row r="13" spans="1:10">
      <c r="A13" s="234" t="s">
        <v>627</v>
      </c>
      <c r="B13" s="252">
        <v>107807</v>
      </c>
      <c r="C13" s="252">
        <v>8816</v>
      </c>
      <c r="D13" s="252">
        <v>98991</v>
      </c>
      <c r="E13" s="253">
        <v>469</v>
      </c>
      <c r="F13" s="253">
        <v>107338</v>
      </c>
      <c r="G13" s="186" t="s">
        <v>631</v>
      </c>
    </row>
    <row r="14" spans="1:10">
      <c r="A14" s="235" t="s">
        <v>523</v>
      </c>
      <c r="B14" s="250" t="s">
        <v>523</v>
      </c>
      <c r="C14" s="250" t="s">
        <v>523</v>
      </c>
      <c r="D14" s="250" t="s">
        <v>523</v>
      </c>
      <c r="E14" s="251" t="s">
        <v>523</v>
      </c>
      <c r="F14" s="251" t="s">
        <v>523</v>
      </c>
      <c r="G14" s="186"/>
    </row>
    <row r="15" spans="1:10">
      <c r="A15" s="233" t="s">
        <v>1</v>
      </c>
      <c r="B15" s="250">
        <v>28532</v>
      </c>
      <c r="C15" s="250">
        <v>1417</v>
      </c>
      <c r="D15" s="250">
        <v>27115</v>
      </c>
      <c r="E15" s="251">
        <v>2421</v>
      </c>
      <c r="F15" s="251">
        <v>26111</v>
      </c>
      <c r="G15" s="186" t="s">
        <v>631</v>
      </c>
    </row>
    <row r="16" spans="1:10">
      <c r="A16" s="234" t="s">
        <v>503</v>
      </c>
      <c r="B16" s="252">
        <v>457</v>
      </c>
      <c r="C16" s="252">
        <v>20</v>
      </c>
      <c r="D16" s="252">
        <v>437</v>
      </c>
      <c r="E16" s="253">
        <v>0</v>
      </c>
      <c r="F16" s="253">
        <v>457</v>
      </c>
      <c r="G16" s="186"/>
    </row>
    <row r="17" spans="1:7">
      <c r="A17" s="234" t="s">
        <v>502</v>
      </c>
      <c r="B17" s="252">
        <v>7186</v>
      </c>
      <c r="C17" s="252">
        <v>812</v>
      </c>
      <c r="D17" s="252">
        <v>6374</v>
      </c>
      <c r="E17" s="253">
        <v>0</v>
      </c>
      <c r="F17" s="253">
        <v>7186</v>
      </c>
      <c r="G17" s="186"/>
    </row>
    <row r="18" spans="1:7">
      <c r="A18" s="234" t="s">
        <v>627</v>
      </c>
      <c r="B18" s="252">
        <v>20889</v>
      </c>
      <c r="C18" s="252">
        <v>585</v>
      </c>
      <c r="D18" s="252">
        <v>20304</v>
      </c>
      <c r="E18" s="253">
        <v>2421</v>
      </c>
      <c r="F18" s="253">
        <v>18468</v>
      </c>
      <c r="G18" s="186" t="s">
        <v>631</v>
      </c>
    </row>
    <row r="19" spans="1:7">
      <c r="A19" s="235" t="s">
        <v>523</v>
      </c>
      <c r="B19" s="236" t="s">
        <v>523</v>
      </c>
      <c r="C19" s="236" t="s">
        <v>523</v>
      </c>
      <c r="D19" s="236" t="s">
        <v>523</v>
      </c>
      <c r="E19" s="236" t="s">
        <v>523</v>
      </c>
      <c r="F19" s="236" t="s">
        <v>523</v>
      </c>
      <c r="G19" s="186"/>
    </row>
    <row r="20" spans="1:7">
      <c r="A20" s="233" t="s">
        <v>2</v>
      </c>
      <c r="B20" s="250">
        <v>174410</v>
      </c>
      <c r="C20" s="250">
        <v>5558</v>
      </c>
      <c r="D20" s="250">
        <v>168852</v>
      </c>
      <c r="E20" s="251">
        <v>1110</v>
      </c>
      <c r="F20" s="251">
        <v>173300</v>
      </c>
      <c r="G20" s="186"/>
    </row>
    <row r="21" spans="1:7">
      <c r="A21" s="234" t="s">
        <v>501</v>
      </c>
      <c r="B21" s="252">
        <v>14662</v>
      </c>
      <c r="C21" s="252">
        <v>257</v>
      </c>
      <c r="D21" s="252">
        <v>14405</v>
      </c>
      <c r="E21" s="253">
        <v>0</v>
      </c>
      <c r="F21" s="253">
        <v>14662</v>
      </c>
      <c r="G21" s="186"/>
    </row>
    <row r="22" spans="1:7">
      <c r="A22" s="234" t="s">
        <v>500</v>
      </c>
      <c r="B22" s="252">
        <v>20235</v>
      </c>
      <c r="C22" s="252">
        <v>1742</v>
      </c>
      <c r="D22" s="252">
        <v>18493</v>
      </c>
      <c r="E22" s="253">
        <v>5</v>
      </c>
      <c r="F22" s="253">
        <v>20230</v>
      </c>
      <c r="G22" s="186"/>
    </row>
    <row r="23" spans="1:7">
      <c r="A23" s="234" t="s">
        <v>499</v>
      </c>
      <c r="B23" s="252">
        <v>773</v>
      </c>
      <c r="C23" s="252">
        <v>-299</v>
      </c>
      <c r="D23" s="252">
        <v>1072</v>
      </c>
      <c r="E23" s="253">
        <v>0</v>
      </c>
      <c r="F23" s="253">
        <v>773</v>
      </c>
      <c r="G23" s="186"/>
    </row>
    <row r="24" spans="1:7">
      <c r="A24" s="246" t="s">
        <v>123</v>
      </c>
      <c r="B24" s="252">
        <v>34517</v>
      </c>
      <c r="C24" s="252">
        <v>-988</v>
      </c>
      <c r="D24" s="253">
        <v>35505</v>
      </c>
      <c r="E24" s="253">
        <v>98</v>
      </c>
      <c r="F24" s="253">
        <v>34419</v>
      </c>
      <c r="G24" s="186"/>
    </row>
    <row r="25" spans="1:7">
      <c r="A25" s="234" t="s">
        <v>498</v>
      </c>
      <c r="B25" s="252">
        <v>13691</v>
      </c>
      <c r="C25" s="252">
        <v>1673</v>
      </c>
      <c r="D25" s="252">
        <v>12018</v>
      </c>
      <c r="E25" s="253">
        <v>0</v>
      </c>
      <c r="F25" s="253">
        <v>13691</v>
      </c>
      <c r="G25" s="186"/>
    </row>
    <row r="26" spans="1:7">
      <c r="A26" s="234" t="s">
        <v>497</v>
      </c>
      <c r="B26" s="252">
        <v>3865</v>
      </c>
      <c r="C26" s="252">
        <v>-452</v>
      </c>
      <c r="D26" s="252">
        <v>4317</v>
      </c>
      <c r="E26" s="253">
        <v>0</v>
      </c>
      <c r="F26" s="253">
        <v>3865</v>
      </c>
      <c r="G26" s="186"/>
    </row>
    <row r="27" spans="1:7">
      <c r="A27" s="234" t="s">
        <v>496</v>
      </c>
      <c r="B27" s="252">
        <v>8938</v>
      </c>
      <c r="C27" s="252">
        <v>35</v>
      </c>
      <c r="D27" s="252">
        <v>8903</v>
      </c>
      <c r="E27" s="253">
        <v>0</v>
      </c>
      <c r="F27" s="253">
        <v>8938</v>
      </c>
      <c r="G27" s="186"/>
    </row>
    <row r="28" spans="1:7">
      <c r="A28" s="246" t="s">
        <v>627</v>
      </c>
      <c r="B28" s="252">
        <v>77729</v>
      </c>
      <c r="C28" s="252">
        <v>3590</v>
      </c>
      <c r="D28" s="252">
        <v>74139</v>
      </c>
      <c r="E28" s="253">
        <v>1007</v>
      </c>
      <c r="F28" s="253">
        <v>76722</v>
      </c>
      <c r="G28" s="186"/>
    </row>
    <row r="29" spans="1:7">
      <c r="A29" s="235" t="s">
        <v>523</v>
      </c>
      <c r="B29" s="252" t="s">
        <v>523</v>
      </c>
      <c r="C29" s="252" t="s">
        <v>523</v>
      </c>
      <c r="D29" s="253" t="s">
        <v>523</v>
      </c>
      <c r="E29" s="253" t="s">
        <v>523</v>
      </c>
      <c r="F29" s="253" t="s">
        <v>523</v>
      </c>
      <c r="G29" s="186"/>
    </row>
    <row r="30" spans="1:7">
      <c r="A30" s="233" t="s">
        <v>3</v>
      </c>
      <c r="B30" s="250">
        <v>28725</v>
      </c>
      <c r="C30" s="250">
        <v>205</v>
      </c>
      <c r="D30" s="250">
        <v>28520</v>
      </c>
      <c r="E30" s="251">
        <v>3827</v>
      </c>
      <c r="F30" s="251">
        <v>24898</v>
      </c>
      <c r="G30" s="186"/>
    </row>
    <row r="31" spans="1:7">
      <c r="A31" s="234" t="s">
        <v>495</v>
      </c>
      <c r="B31" s="252">
        <v>330</v>
      </c>
      <c r="C31" s="252">
        <v>-8</v>
      </c>
      <c r="D31" s="252">
        <v>338</v>
      </c>
      <c r="E31" s="253">
        <v>0</v>
      </c>
      <c r="F31" s="253">
        <v>330</v>
      </c>
      <c r="G31" s="186"/>
    </row>
    <row r="32" spans="1:7">
      <c r="A32" s="234" t="s">
        <v>494</v>
      </c>
      <c r="B32" s="252">
        <v>499</v>
      </c>
      <c r="C32" s="252">
        <v>-1</v>
      </c>
      <c r="D32" s="252">
        <v>500</v>
      </c>
      <c r="E32" s="253">
        <v>0</v>
      </c>
      <c r="F32" s="253">
        <v>499</v>
      </c>
      <c r="G32" s="186"/>
    </row>
    <row r="33" spans="1:7">
      <c r="A33" s="234" t="s">
        <v>493</v>
      </c>
      <c r="B33" s="252">
        <v>728</v>
      </c>
      <c r="C33" s="252">
        <v>-2</v>
      </c>
      <c r="D33" s="252">
        <v>730</v>
      </c>
      <c r="E33" s="253">
        <v>0</v>
      </c>
      <c r="F33" s="253">
        <v>728</v>
      </c>
      <c r="G33" s="186"/>
    </row>
    <row r="34" spans="1:7">
      <c r="A34" s="234" t="s">
        <v>492</v>
      </c>
      <c r="B34" s="252">
        <v>5460</v>
      </c>
      <c r="C34" s="252">
        <v>11</v>
      </c>
      <c r="D34" s="252">
        <v>5449</v>
      </c>
      <c r="E34" s="253">
        <v>11</v>
      </c>
      <c r="F34" s="253">
        <v>5449</v>
      </c>
      <c r="G34" s="186"/>
    </row>
    <row r="35" spans="1:7">
      <c r="A35" s="234" t="s">
        <v>627</v>
      </c>
      <c r="B35" s="252">
        <v>21708</v>
      </c>
      <c r="C35" s="252">
        <v>205</v>
      </c>
      <c r="D35" s="252">
        <v>21503</v>
      </c>
      <c r="E35" s="253">
        <v>3816</v>
      </c>
      <c r="F35" s="253">
        <v>17892</v>
      </c>
      <c r="G35" s="186"/>
    </row>
    <row r="36" spans="1:7">
      <c r="A36" s="235" t="s">
        <v>523</v>
      </c>
      <c r="B36" s="252" t="s">
        <v>523</v>
      </c>
      <c r="C36" s="252" t="s">
        <v>523</v>
      </c>
      <c r="D36" s="253" t="s">
        <v>523</v>
      </c>
      <c r="E36" s="253" t="s">
        <v>523</v>
      </c>
      <c r="F36" s="253" t="s">
        <v>523</v>
      </c>
      <c r="G36" s="186"/>
    </row>
    <row r="37" spans="1:7">
      <c r="A37" s="233" t="s">
        <v>4</v>
      </c>
      <c r="B37" s="250">
        <v>606671</v>
      </c>
      <c r="C37" s="250">
        <v>63295</v>
      </c>
      <c r="D37" s="250">
        <v>543376</v>
      </c>
      <c r="E37" s="251">
        <v>185</v>
      </c>
      <c r="F37" s="251">
        <v>606486</v>
      </c>
      <c r="G37" s="186"/>
    </row>
    <row r="38" spans="1:7">
      <c r="A38" s="234" t="s">
        <v>491</v>
      </c>
      <c r="B38" s="252">
        <v>10342</v>
      </c>
      <c r="C38" s="252">
        <v>430</v>
      </c>
      <c r="D38" s="252">
        <v>9912</v>
      </c>
      <c r="E38" s="253">
        <v>0</v>
      </c>
      <c r="F38" s="253">
        <v>10342</v>
      </c>
      <c r="G38" s="186"/>
    </row>
    <row r="39" spans="1:7">
      <c r="A39" s="234" t="s">
        <v>89</v>
      </c>
      <c r="B39" s="252">
        <v>19327</v>
      </c>
      <c r="C39" s="252">
        <v>2187</v>
      </c>
      <c r="D39" s="252">
        <v>17140</v>
      </c>
      <c r="E39" s="253">
        <v>0</v>
      </c>
      <c r="F39" s="253">
        <v>19327</v>
      </c>
      <c r="G39" s="186"/>
    </row>
    <row r="40" spans="1:7">
      <c r="A40" s="234" t="s">
        <v>490</v>
      </c>
      <c r="B40" s="252">
        <v>11391</v>
      </c>
      <c r="C40" s="252">
        <v>160</v>
      </c>
      <c r="D40" s="252">
        <v>11231</v>
      </c>
      <c r="E40" s="253">
        <v>0</v>
      </c>
      <c r="F40" s="253">
        <v>11391</v>
      </c>
      <c r="G40" s="186"/>
    </row>
    <row r="41" spans="1:7">
      <c r="A41" s="234" t="s">
        <v>489</v>
      </c>
      <c r="B41" s="252">
        <v>4492</v>
      </c>
      <c r="C41" s="252">
        <v>642</v>
      </c>
      <c r="D41" s="252">
        <v>3850</v>
      </c>
      <c r="E41" s="253">
        <v>0</v>
      </c>
      <c r="F41" s="253">
        <v>4492</v>
      </c>
      <c r="G41" s="186"/>
    </row>
    <row r="42" spans="1:7">
      <c r="A42" s="234" t="s">
        <v>488</v>
      </c>
      <c r="B42" s="252">
        <v>2882</v>
      </c>
      <c r="C42" s="252">
        <v>162</v>
      </c>
      <c r="D42" s="252">
        <v>2720</v>
      </c>
      <c r="E42" s="253">
        <v>0</v>
      </c>
      <c r="F42" s="253">
        <v>2882</v>
      </c>
      <c r="G42" s="186"/>
    </row>
    <row r="43" spans="1:7">
      <c r="A43" s="234" t="s">
        <v>487</v>
      </c>
      <c r="B43" s="252">
        <v>8751</v>
      </c>
      <c r="C43" s="252">
        <v>526</v>
      </c>
      <c r="D43" s="252">
        <v>8225</v>
      </c>
      <c r="E43" s="253">
        <v>0</v>
      </c>
      <c r="F43" s="253">
        <v>8751</v>
      </c>
      <c r="G43" s="186"/>
    </row>
    <row r="44" spans="1:7">
      <c r="A44" s="234" t="s">
        <v>486</v>
      </c>
      <c r="B44" s="252">
        <v>3033</v>
      </c>
      <c r="C44" s="252">
        <v>276</v>
      </c>
      <c r="D44" s="252">
        <v>2757</v>
      </c>
      <c r="E44" s="253">
        <v>0</v>
      </c>
      <c r="F44" s="253">
        <v>3033</v>
      </c>
      <c r="G44" s="186"/>
    </row>
    <row r="45" spans="1:7">
      <c r="A45" s="246" t="s">
        <v>90</v>
      </c>
      <c r="B45" s="252">
        <v>84402</v>
      </c>
      <c r="C45" s="252">
        <v>8197</v>
      </c>
      <c r="D45" s="253">
        <v>76205</v>
      </c>
      <c r="E45" s="253">
        <v>29</v>
      </c>
      <c r="F45" s="253">
        <v>84373</v>
      </c>
      <c r="G45" s="186"/>
    </row>
    <row r="46" spans="1:7">
      <c r="A46" s="234" t="s">
        <v>485</v>
      </c>
      <c r="B46" s="252">
        <v>3150</v>
      </c>
      <c r="C46" s="252">
        <v>49</v>
      </c>
      <c r="D46" s="252">
        <v>3101</v>
      </c>
      <c r="E46" s="253">
        <v>0</v>
      </c>
      <c r="F46" s="253">
        <v>3150</v>
      </c>
      <c r="G46" s="186"/>
    </row>
    <row r="47" spans="1:7">
      <c r="A47" s="234" t="s">
        <v>484</v>
      </c>
      <c r="B47" s="252">
        <v>677</v>
      </c>
      <c r="C47" s="252">
        <v>15</v>
      </c>
      <c r="D47" s="252">
        <v>662</v>
      </c>
      <c r="E47" s="253">
        <v>0</v>
      </c>
      <c r="F47" s="253">
        <v>677</v>
      </c>
      <c r="G47" s="186"/>
    </row>
    <row r="48" spans="1:7">
      <c r="A48" s="234" t="s">
        <v>91</v>
      </c>
      <c r="B48" s="252">
        <v>118568</v>
      </c>
      <c r="C48" s="252">
        <v>15378</v>
      </c>
      <c r="D48" s="252">
        <v>103190</v>
      </c>
      <c r="E48" s="253">
        <v>0</v>
      </c>
      <c r="F48" s="253">
        <v>118568</v>
      </c>
      <c r="G48" s="186"/>
    </row>
    <row r="49" spans="1:7">
      <c r="A49" s="234" t="s">
        <v>483</v>
      </c>
      <c r="B49" s="252">
        <v>1137</v>
      </c>
      <c r="C49" s="252">
        <v>237</v>
      </c>
      <c r="D49" s="252">
        <v>900</v>
      </c>
      <c r="E49" s="253">
        <v>0</v>
      </c>
      <c r="F49" s="253">
        <v>1137</v>
      </c>
      <c r="G49" s="186"/>
    </row>
    <row r="50" spans="1:7">
      <c r="A50" s="234" t="s">
        <v>482</v>
      </c>
      <c r="B50" s="252">
        <v>27946</v>
      </c>
      <c r="C50" s="252">
        <v>3020</v>
      </c>
      <c r="D50" s="252">
        <v>24926</v>
      </c>
      <c r="E50" s="253">
        <v>17</v>
      </c>
      <c r="F50" s="253">
        <v>27929</v>
      </c>
      <c r="G50" s="186"/>
    </row>
    <row r="51" spans="1:7">
      <c r="A51" s="234" t="s">
        <v>481</v>
      </c>
      <c r="B51" s="252">
        <v>10887</v>
      </c>
      <c r="C51" s="252">
        <v>778</v>
      </c>
      <c r="D51" s="252">
        <v>10109</v>
      </c>
      <c r="E51" s="253">
        <v>0</v>
      </c>
      <c r="F51" s="253">
        <v>10887</v>
      </c>
      <c r="G51" s="186"/>
    </row>
    <row r="52" spans="1:7">
      <c r="A52" s="234" t="s">
        <v>92</v>
      </c>
      <c r="B52" s="252">
        <v>48685</v>
      </c>
      <c r="C52" s="252">
        <v>4924</v>
      </c>
      <c r="D52" s="252">
        <v>43761</v>
      </c>
      <c r="E52" s="253">
        <v>7</v>
      </c>
      <c r="F52" s="253">
        <v>48678</v>
      </c>
      <c r="G52" s="186"/>
    </row>
    <row r="53" spans="1:7">
      <c r="A53" s="234" t="s">
        <v>480</v>
      </c>
      <c r="B53" s="252">
        <v>25385</v>
      </c>
      <c r="C53" s="252">
        <v>7030</v>
      </c>
      <c r="D53" s="252">
        <v>18355</v>
      </c>
      <c r="E53" s="253">
        <v>0</v>
      </c>
      <c r="F53" s="253">
        <v>25385</v>
      </c>
      <c r="G53" s="186"/>
    </row>
    <row r="54" spans="1:7">
      <c r="A54" s="246" t="s">
        <v>627</v>
      </c>
      <c r="B54" s="252">
        <v>225616</v>
      </c>
      <c r="C54" s="252">
        <v>19284</v>
      </c>
      <c r="D54" s="252">
        <v>206332</v>
      </c>
      <c r="E54" s="253">
        <v>132</v>
      </c>
      <c r="F54" s="253">
        <v>225484</v>
      </c>
      <c r="G54" s="186"/>
    </row>
    <row r="55" spans="1:7">
      <c r="A55" s="235" t="s">
        <v>523</v>
      </c>
      <c r="B55" s="252" t="s">
        <v>523</v>
      </c>
      <c r="C55" s="252" t="s">
        <v>523</v>
      </c>
      <c r="D55" s="252" t="s">
        <v>523</v>
      </c>
      <c r="E55" s="253" t="s">
        <v>523</v>
      </c>
      <c r="F55" s="253" t="s">
        <v>523</v>
      </c>
      <c r="G55" s="186"/>
    </row>
    <row r="56" spans="1:7">
      <c r="A56" s="233" t="s">
        <v>5</v>
      </c>
      <c r="B56" s="250">
        <v>1932212</v>
      </c>
      <c r="C56" s="250">
        <v>184146</v>
      </c>
      <c r="D56" s="250">
        <v>1748066</v>
      </c>
      <c r="E56" s="251">
        <v>887</v>
      </c>
      <c r="F56" s="251">
        <v>1931325</v>
      </c>
      <c r="G56" s="186" t="s">
        <v>631</v>
      </c>
    </row>
    <row r="57" spans="1:7">
      <c r="A57" s="234" t="s">
        <v>124</v>
      </c>
      <c r="B57" s="252">
        <v>58803</v>
      </c>
      <c r="C57" s="252">
        <v>5894</v>
      </c>
      <c r="D57" s="252">
        <v>52909</v>
      </c>
      <c r="E57" s="253">
        <v>0</v>
      </c>
      <c r="F57" s="253">
        <v>58803</v>
      </c>
      <c r="G57" s="186"/>
    </row>
    <row r="58" spans="1:7">
      <c r="A58" s="234" t="s">
        <v>479</v>
      </c>
      <c r="B58" s="252">
        <v>34006</v>
      </c>
      <c r="C58" s="252">
        <v>5459</v>
      </c>
      <c r="D58" s="252">
        <v>28547</v>
      </c>
      <c r="E58" s="253">
        <v>6</v>
      </c>
      <c r="F58" s="253">
        <v>34000</v>
      </c>
      <c r="G58" s="186" t="s">
        <v>631</v>
      </c>
    </row>
    <row r="59" spans="1:7">
      <c r="A59" s="234" t="s">
        <v>125</v>
      </c>
      <c r="B59" s="252">
        <v>129263</v>
      </c>
      <c r="C59" s="252">
        <v>8167</v>
      </c>
      <c r="D59" s="252">
        <v>121096</v>
      </c>
      <c r="E59" s="253">
        <v>0</v>
      </c>
      <c r="F59" s="253">
        <v>129263</v>
      </c>
      <c r="G59" s="186"/>
    </row>
    <row r="60" spans="1:7">
      <c r="A60" s="234" t="s">
        <v>478</v>
      </c>
      <c r="B60" s="252">
        <v>32215</v>
      </c>
      <c r="C60" s="252">
        <v>2576</v>
      </c>
      <c r="D60" s="252">
        <v>29639</v>
      </c>
      <c r="E60" s="253">
        <v>0</v>
      </c>
      <c r="F60" s="253">
        <v>32215</v>
      </c>
      <c r="G60" s="186"/>
    </row>
    <row r="61" spans="1:7">
      <c r="A61" s="234" t="s">
        <v>126</v>
      </c>
      <c r="B61" s="252">
        <v>105050</v>
      </c>
      <c r="C61" s="252">
        <v>13058</v>
      </c>
      <c r="D61" s="252">
        <v>91992</v>
      </c>
      <c r="E61" s="253">
        <v>6</v>
      </c>
      <c r="F61" s="253">
        <v>105044</v>
      </c>
      <c r="G61" s="186"/>
    </row>
    <row r="62" spans="1:7">
      <c r="A62" s="234" t="s">
        <v>88</v>
      </c>
      <c r="B62" s="252">
        <v>80178</v>
      </c>
      <c r="C62" s="252">
        <v>5160</v>
      </c>
      <c r="D62" s="252">
        <v>75018</v>
      </c>
      <c r="E62" s="253">
        <v>0</v>
      </c>
      <c r="F62" s="253">
        <v>80178</v>
      </c>
      <c r="G62" s="186"/>
    </row>
    <row r="63" spans="1:7">
      <c r="A63" s="234" t="s">
        <v>601</v>
      </c>
      <c r="B63" s="252">
        <v>189321</v>
      </c>
      <c r="C63" s="252">
        <v>23800</v>
      </c>
      <c r="D63" s="252">
        <v>165521</v>
      </c>
      <c r="E63" s="253">
        <v>33</v>
      </c>
      <c r="F63" s="253">
        <v>189288</v>
      </c>
      <c r="G63" s="186"/>
    </row>
    <row r="64" spans="1:7">
      <c r="A64" s="234" t="s">
        <v>477</v>
      </c>
      <c r="B64" s="252">
        <v>39945</v>
      </c>
      <c r="C64" s="252">
        <v>2832</v>
      </c>
      <c r="D64" s="252">
        <v>37113</v>
      </c>
      <c r="E64" s="253">
        <v>0</v>
      </c>
      <c r="F64" s="253">
        <v>39945</v>
      </c>
      <c r="G64" s="186"/>
    </row>
    <row r="65" spans="1:7">
      <c r="A65" s="234" t="s">
        <v>476</v>
      </c>
      <c r="B65" s="252">
        <v>1937</v>
      </c>
      <c r="C65" s="252">
        <v>62</v>
      </c>
      <c r="D65" s="252">
        <v>1875</v>
      </c>
      <c r="E65" s="253">
        <v>0</v>
      </c>
      <c r="F65" s="253">
        <v>1937</v>
      </c>
      <c r="G65" s="186"/>
    </row>
    <row r="66" spans="1:7">
      <c r="A66" s="234" t="s">
        <v>127</v>
      </c>
      <c r="B66" s="252">
        <v>151818</v>
      </c>
      <c r="C66" s="252">
        <v>11050</v>
      </c>
      <c r="D66" s="252">
        <v>140768</v>
      </c>
      <c r="E66" s="253">
        <v>0</v>
      </c>
      <c r="F66" s="253">
        <v>151818</v>
      </c>
      <c r="G66" s="186"/>
    </row>
    <row r="67" spans="1:7">
      <c r="A67" s="234" t="s">
        <v>475</v>
      </c>
      <c r="B67" s="252">
        <v>6305</v>
      </c>
      <c r="C67" s="252">
        <v>249</v>
      </c>
      <c r="D67" s="252">
        <v>6056</v>
      </c>
      <c r="E67" s="253">
        <v>0</v>
      </c>
      <c r="F67" s="253">
        <v>6305</v>
      </c>
      <c r="G67" s="186"/>
    </row>
    <row r="68" spans="1:7">
      <c r="A68" s="234" t="s">
        <v>474</v>
      </c>
      <c r="B68" s="252">
        <v>36527</v>
      </c>
      <c r="C68" s="252">
        <v>3934</v>
      </c>
      <c r="D68" s="252">
        <v>32593</v>
      </c>
      <c r="E68" s="253">
        <v>0</v>
      </c>
      <c r="F68" s="253">
        <v>36527</v>
      </c>
      <c r="G68" s="186"/>
    </row>
    <row r="69" spans="1:7">
      <c r="A69" s="234" t="s">
        <v>128</v>
      </c>
      <c r="B69" s="252">
        <v>72507</v>
      </c>
      <c r="C69" s="252">
        <v>5620</v>
      </c>
      <c r="D69" s="252">
        <v>66887</v>
      </c>
      <c r="E69" s="253">
        <v>0</v>
      </c>
      <c r="F69" s="253">
        <v>72507</v>
      </c>
      <c r="G69" s="186"/>
    </row>
    <row r="70" spans="1:7">
      <c r="A70" s="234" t="s">
        <v>473</v>
      </c>
      <c r="B70" s="252">
        <v>28</v>
      </c>
      <c r="C70" s="252">
        <v>4</v>
      </c>
      <c r="D70" s="252">
        <v>24</v>
      </c>
      <c r="E70" s="253">
        <v>0</v>
      </c>
      <c r="F70" s="253">
        <v>28</v>
      </c>
      <c r="G70" s="186"/>
    </row>
    <row r="71" spans="1:7">
      <c r="A71" s="234" t="s">
        <v>472</v>
      </c>
      <c r="B71" s="252">
        <v>10536</v>
      </c>
      <c r="C71" s="252">
        <v>192</v>
      </c>
      <c r="D71" s="252">
        <v>10344</v>
      </c>
      <c r="E71" s="253">
        <v>0</v>
      </c>
      <c r="F71" s="253">
        <v>10536</v>
      </c>
      <c r="G71" s="186"/>
    </row>
    <row r="72" spans="1:7">
      <c r="A72" s="234" t="s">
        <v>129</v>
      </c>
      <c r="B72" s="252">
        <v>59351</v>
      </c>
      <c r="C72" s="252">
        <v>6067</v>
      </c>
      <c r="D72" s="252">
        <v>53284</v>
      </c>
      <c r="E72" s="253">
        <v>0</v>
      </c>
      <c r="F72" s="253">
        <v>59351</v>
      </c>
      <c r="G72" s="186"/>
    </row>
    <row r="73" spans="1:7">
      <c r="A73" s="234" t="s">
        <v>130</v>
      </c>
      <c r="B73" s="252">
        <v>138873</v>
      </c>
      <c r="C73" s="252">
        <v>16832</v>
      </c>
      <c r="D73" s="252">
        <v>122041</v>
      </c>
      <c r="E73" s="253">
        <v>0</v>
      </c>
      <c r="F73" s="253">
        <v>138873</v>
      </c>
      <c r="G73" s="186"/>
    </row>
    <row r="74" spans="1:7">
      <c r="A74" s="234" t="s">
        <v>471</v>
      </c>
      <c r="B74" s="252">
        <v>45549</v>
      </c>
      <c r="C74" s="252">
        <v>4526</v>
      </c>
      <c r="D74" s="252">
        <v>41023</v>
      </c>
      <c r="E74" s="253">
        <v>0</v>
      </c>
      <c r="F74" s="253">
        <v>45549</v>
      </c>
      <c r="G74" s="186"/>
    </row>
    <row r="75" spans="1:7">
      <c r="A75" s="234" t="s">
        <v>470</v>
      </c>
      <c r="B75" s="252">
        <v>45709</v>
      </c>
      <c r="C75" s="252">
        <v>4346</v>
      </c>
      <c r="D75" s="252">
        <v>41363</v>
      </c>
      <c r="E75" s="253">
        <v>0</v>
      </c>
      <c r="F75" s="253">
        <v>45709</v>
      </c>
      <c r="G75" s="186"/>
    </row>
    <row r="76" spans="1:7">
      <c r="A76" s="234" t="s">
        <v>469</v>
      </c>
      <c r="B76" s="252">
        <v>35438</v>
      </c>
      <c r="C76" s="252">
        <v>11476</v>
      </c>
      <c r="D76" s="252">
        <v>23962</v>
      </c>
      <c r="E76" s="253">
        <v>0</v>
      </c>
      <c r="F76" s="253">
        <v>35438</v>
      </c>
      <c r="G76" s="186"/>
    </row>
    <row r="77" spans="1:7">
      <c r="A77" s="234" t="s">
        <v>468</v>
      </c>
      <c r="B77" s="252">
        <v>6373</v>
      </c>
      <c r="C77" s="252">
        <v>271</v>
      </c>
      <c r="D77" s="252">
        <v>6102</v>
      </c>
      <c r="E77" s="253">
        <v>0</v>
      </c>
      <c r="F77" s="253">
        <v>6373</v>
      </c>
      <c r="G77" s="186"/>
    </row>
    <row r="78" spans="1:7">
      <c r="A78" s="246" t="s">
        <v>131</v>
      </c>
      <c r="B78" s="252">
        <v>168949</v>
      </c>
      <c r="C78" s="252">
        <v>14930</v>
      </c>
      <c r="D78" s="252">
        <v>154019</v>
      </c>
      <c r="E78" s="253">
        <v>623</v>
      </c>
      <c r="F78" s="253">
        <v>168326</v>
      </c>
      <c r="G78" s="186"/>
    </row>
    <row r="79" spans="1:7">
      <c r="A79" s="234" t="s">
        <v>132</v>
      </c>
      <c r="B79" s="252">
        <v>90802</v>
      </c>
      <c r="C79" s="252">
        <v>5847</v>
      </c>
      <c r="D79" s="252">
        <v>84955</v>
      </c>
      <c r="E79" s="253">
        <v>0</v>
      </c>
      <c r="F79" s="253">
        <v>90802</v>
      </c>
      <c r="G79" s="186"/>
    </row>
    <row r="80" spans="1:7">
      <c r="A80" s="234" t="s">
        <v>133</v>
      </c>
      <c r="B80" s="252">
        <v>112941</v>
      </c>
      <c r="C80" s="252">
        <v>13096</v>
      </c>
      <c r="D80" s="252">
        <v>99845</v>
      </c>
      <c r="E80" s="253">
        <v>140</v>
      </c>
      <c r="F80" s="253">
        <v>112801</v>
      </c>
      <c r="G80" s="186"/>
    </row>
    <row r="81" spans="1:7">
      <c r="A81" s="234" t="s">
        <v>467</v>
      </c>
      <c r="B81" s="252">
        <v>682</v>
      </c>
      <c r="C81" s="252">
        <v>12</v>
      </c>
      <c r="D81" s="252">
        <v>670</v>
      </c>
      <c r="E81" s="253">
        <v>0</v>
      </c>
      <c r="F81" s="253">
        <v>682</v>
      </c>
      <c r="G81" s="186"/>
    </row>
    <row r="82" spans="1:7">
      <c r="A82" s="234" t="s">
        <v>466</v>
      </c>
      <c r="B82" s="252">
        <v>7786</v>
      </c>
      <c r="C82" s="252">
        <v>441</v>
      </c>
      <c r="D82" s="252">
        <v>7345</v>
      </c>
      <c r="E82" s="253">
        <v>0</v>
      </c>
      <c r="F82" s="253">
        <v>7786</v>
      </c>
      <c r="G82" s="186"/>
    </row>
    <row r="83" spans="1:7">
      <c r="A83" s="234" t="s">
        <v>134</v>
      </c>
      <c r="B83" s="252">
        <v>94333</v>
      </c>
      <c r="C83" s="252">
        <v>9894</v>
      </c>
      <c r="D83" s="252">
        <v>84439</v>
      </c>
      <c r="E83" s="253">
        <v>0</v>
      </c>
      <c r="F83" s="253">
        <v>94333</v>
      </c>
      <c r="G83" s="186"/>
    </row>
    <row r="84" spans="1:7">
      <c r="A84" s="234" t="s">
        <v>135</v>
      </c>
      <c r="B84" s="252">
        <v>66089</v>
      </c>
      <c r="C84" s="252">
        <v>5662</v>
      </c>
      <c r="D84" s="252">
        <v>60427</v>
      </c>
      <c r="E84" s="253">
        <v>0</v>
      </c>
      <c r="F84" s="253">
        <v>66089</v>
      </c>
      <c r="G84" s="186"/>
    </row>
    <row r="85" spans="1:7">
      <c r="A85" s="234" t="s">
        <v>465</v>
      </c>
      <c r="B85" s="252">
        <v>67438</v>
      </c>
      <c r="C85" s="252">
        <v>2105</v>
      </c>
      <c r="D85" s="252">
        <v>65333</v>
      </c>
      <c r="E85" s="253">
        <v>0</v>
      </c>
      <c r="F85" s="253">
        <v>67438</v>
      </c>
      <c r="G85" s="186"/>
    </row>
    <row r="86" spans="1:7">
      <c r="A86" s="234" t="s">
        <v>464</v>
      </c>
      <c r="B86" s="252">
        <v>15228</v>
      </c>
      <c r="C86" s="252">
        <v>1072</v>
      </c>
      <c r="D86" s="252">
        <v>14156</v>
      </c>
      <c r="E86" s="253">
        <v>0</v>
      </c>
      <c r="F86" s="253">
        <v>15228</v>
      </c>
      <c r="G86" s="186"/>
    </row>
    <row r="87" spans="1:7">
      <c r="A87" s="234" t="s">
        <v>463</v>
      </c>
      <c r="B87" s="252">
        <v>12857</v>
      </c>
      <c r="C87" s="252">
        <v>1225</v>
      </c>
      <c r="D87" s="252">
        <v>11632</v>
      </c>
      <c r="E87" s="253">
        <v>0</v>
      </c>
      <c r="F87" s="253">
        <v>12857</v>
      </c>
      <c r="G87" s="186"/>
    </row>
    <row r="88" spans="1:7">
      <c r="A88" s="246" t="s">
        <v>627</v>
      </c>
      <c r="B88" s="252">
        <v>15375</v>
      </c>
      <c r="C88" s="252">
        <v>-1713</v>
      </c>
      <c r="D88" s="252">
        <v>17088</v>
      </c>
      <c r="E88" s="253">
        <v>79</v>
      </c>
      <c r="F88" s="253">
        <v>15296</v>
      </c>
      <c r="G88" s="186"/>
    </row>
    <row r="89" spans="1:7">
      <c r="A89" s="235" t="s">
        <v>523</v>
      </c>
      <c r="B89" s="252" t="s">
        <v>523</v>
      </c>
      <c r="C89" s="252" t="s">
        <v>523</v>
      </c>
      <c r="D89" s="252" t="s">
        <v>523</v>
      </c>
      <c r="E89" s="253" t="s">
        <v>523</v>
      </c>
      <c r="F89" s="253" t="s">
        <v>523</v>
      </c>
      <c r="G89" s="186"/>
    </row>
    <row r="90" spans="1:7">
      <c r="A90" s="233" t="s">
        <v>6</v>
      </c>
      <c r="B90" s="250">
        <v>14489</v>
      </c>
      <c r="C90" s="250">
        <v>-136</v>
      </c>
      <c r="D90" s="250">
        <v>14625</v>
      </c>
      <c r="E90" s="251">
        <v>1569</v>
      </c>
      <c r="F90" s="251">
        <v>12920</v>
      </c>
      <c r="G90" s="186"/>
    </row>
    <row r="91" spans="1:7">
      <c r="A91" s="234" t="s">
        <v>462</v>
      </c>
      <c r="B91" s="252">
        <v>536</v>
      </c>
      <c r="C91" s="252">
        <v>0</v>
      </c>
      <c r="D91" s="252">
        <v>536</v>
      </c>
      <c r="E91" s="253">
        <v>0</v>
      </c>
      <c r="F91" s="253">
        <v>536</v>
      </c>
      <c r="G91" s="186"/>
    </row>
    <row r="92" spans="1:7">
      <c r="A92" s="234" t="s">
        <v>461</v>
      </c>
      <c r="B92" s="252">
        <v>2414</v>
      </c>
      <c r="C92" s="252">
        <v>-100</v>
      </c>
      <c r="D92" s="252">
        <v>2514</v>
      </c>
      <c r="E92" s="253">
        <v>0</v>
      </c>
      <c r="F92" s="253">
        <v>2414</v>
      </c>
      <c r="G92" s="186"/>
    </row>
    <row r="93" spans="1:7">
      <c r="A93" s="234" t="s">
        <v>627</v>
      </c>
      <c r="B93" s="252">
        <v>11539</v>
      </c>
      <c r="C93" s="252">
        <v>-36</v>
      </c>
      <c r="D93" s="252">
        <v>11575</v>
      </c>
      <c r="E93" s="253">
        <v>1569</v>
      </c>
      <c r="F93" s="253">
        <v>9970</v>
      </c>
      <c r="G93" s="186"/>
    </row>
    <row r="94" spans="1:7">
      <c r="A94" s="235" t="s">
        <v>523</v>
      </c>
      <c r="B94" s="252" t="s">
        <v>523</v>
      </c>
      <c r="C94" s="252" t="s">
        <v>523</v>
      </c>
      <c r="D94" s="253" t="s">
        <v>523</v>
      </c>
      <c r="E94" s="253" t="s">
        <v>523</v>
      </c>
      <c r="F94" s="253" t="s">
        <v>523</v>
      </c>
      <c r="G94" s="186"/>
    </row>
    <row r="95" spans="1:7">
      <c r="A95" s="233" t="s">
        <v>7</v>
      </c>
      <c r="B95" s="250">
        <v>187904</v>
      </c>
      <c r="C95" s="250">
        <v>27926</v>
      </c>
      <c r="D95" s="250">
        <v>159978</v>
      </c>
      <c r="E95" s="251">
        <v>1242</v>
      </c>
      <c r="F95" s="251">
        <v>186662</v>
      </c>
      <c r="G95" s="186"/>
    </row>
    <row r="96" spans="1:7">
      <c r="A96" s="234" t="s">
        <v>8</v>
      </c>
      <c r="B96" s="252">
        <v>20405</v>
      </c>
      <c r="C96" s="252">
        <v>3764</v>
      </c>
      <c r="D96" s="252">
        <v>16641</v>
      </c>
      <c r="E96" s="253">
        <v>0</v>
      </c>
      <c r="F96" s="253">
        <v>20405</v>
      </c>
      <c r="G96" s="186"/>
    </row>
    <row r="97" spans="1:7">
      <c r="A97" s="234" t="s">
        <v>627</v>
      </c>
      <c r="B97" s="252">
        <v>167499</v>
      </c>
      <c r="C97" s="252">
        <v>24162</v>
      </c>
      <c r="D97" s="252">
        <v>143337</v>
      </c>
      <c r="E97" s="253">
        <v>1242</v>
      </c>
      <c r="F97" s="253">
        <v>166257</v>
      </c>
      <c r="G97" s="186"/>
    </row>
    <row r="98" spans="1:7">
      <c r="A98" s="235" t="s">
        <v>523</v>
      </c>
      <c r="B98" s="252" t="s">
        <v>523</v>
      </c>
      <c r="C98" s="252" t="s">
        <v>523</v>
      </c>
      <c r="D98" s="252" t="s">
        <v>523</v>
      </c>
      <c r="E98" s="253" t="s">
        <v>523</v>
      </c>
      <c r="F98" s="253" t="s">
        <v>523</v>
      </c>
      <c r="G98" s="186"/>
    </row>
    <row r="99" spans="1:7">
      <c r="A99" s="233" t="s">
        <v>9</v>
      </c>
      <c r="B99" s="250">
        <v>149383</v>
      </c>
      <c r="C99" s="250">
        <v>8147</v>
      </c>
      <c r="D99" s="250">
        <v>141236</v>
      </c>
      <c r="E99" s="251">
        <v>118</v>
      </c>
      <c r="F99" s="251">
        <v>149265</v>
      </c>
      <c r="G99" s="186"/>
    </row>
    <row r="100" spans="1:7">
      <c r="A100" s="234" t="s">
        <v>460</v>
      </c>
      <c r="B100" s="252">
        <v>3190</v>
      </c>
      <c r="C100" s="252">
        <v>82</v>
      </c>
      <c r="D100" s="252">
        <v>3108</v>
      </c>
      <c r="E100" s="253">
        <v>0</v>
      </c>
      <c r="F100" s="253">
        <v>3190</v>
      </c>
      <c r="G100" s="186"/>
    </row>
    <row r="101" spans="1:7">
      <c r="A101" s="234" t="s">
        <v>459</v>
      </c>
      <c r="B101" s="252">
        <v>7375</v>
      </c>
      <c r="C101" s="252">
        <v>165</v>
      </c>
      <c r="D101" s="252">
        <v>7210</v>
      </c>
      <c r="E101" s="253">
        <v>0</v>
      </c>
      <c r="F101" s="253">
        <v>7375</v>
      </c>
      <c r="G101" s="186"/>
    </row>
    <row r="102" spans="1:7">
      <c r="A102" s="234" t="s">
        <v>627</v>
      </c>
      <c r="B102" s="252">
        <v>138818</v>
      </c>
      <c r="C102" s="252">
        <v>7900</v>
      </c>
      <c r="D102" s="252">
        <v>130918</v>
      </c>
      <c r="E102" s="253">
        <v>118</v>
      </c>
      <c r="F102" s="253">
        <v>138700</v>
      </c>
      <c r="G102" s="186"/>
    </row>
    <row r="103" spans="1:7">
      <c r="A103" s="235" t="s">
        <v>523</v>
      </c>
      <c r="B103" s="252" t="s">
        <v>523</v>
      </c>
      <c r="C103" s="252" t="s">
        <v>523</v>
      </c>
      <c r="D103" s="252" t="s">
        <v>523</v>
      </c>
      <c r="E103" s="253" t="s">
        <v>523</v>
      </c>
      <c r="F103" s="253" t="s">
        <v>523</v>
      </c>
      <c r="G103" s="186"/>
    </row>
    <row r="104" spans="1:7">
      <c r="A104" s="233" t="s">
        <v>10</v>
      </c>
      <c r="B104" s="250">
        <v>219575</v>
      </c>
      <c r="C104" s="250">
        <v>28710</v>
      </c>
      <c r="D104" s="250">
        <v>190865</v>
      </c>
      <c r="E104" s="251">
        <v>0</v>
      </c>
      <c r="F104" s="251">
        <v>219575</v>
      </c>
      <c r="G104" s="186"/>
    </row>
    <row r="105" spans="1:7">
      <c r="A105" s="234" t="s">
        <v>458</v>
      </c>
      <c r="B105" s="252">
        <v>8054</v>
      </c>
      <c r="C105" s="252">
        <v>1146</v>
      </c>
      <c r="D105" s="252">
        <v>6908</v>
      </c>
      <c r="E105" s="253">
        <v>0</v>
      </c>
      <c r="F105" s="253">
        <v>8054</v>
      </c>
      <c r="G105" s="186"/>
    </row>
    <row r="106" spans="1:7">
      <c r="A106" s="234" t="s">
        <v>457</v>
      </c>
      <c r="B106" s="252">
        <v>1385</v>
      </c>
      <c r="C106" s="252">
        <v>35</v>
      </c>
      <c r="D106" s="252">
        <v>1350</v>
      </c>
      <c r="E106" s="253">
        <v>0</v>
      </c>
      <c r="F106" s="253">
        <v>1385</v>
      </c>
      <c r="G106" s="186"/>
    </row>
    <row r="107" spans="1:7">
      <c r="A107" s="234" t="s">
        <v>456</v>
      </c>
      <c r="B107" s="252">
        <v>8692</v>
      </c>
      <c r="C107" s="252">
        <v>280</v>
      </c>
      <c r="D107" s="252">
        <v>8412</v>
      </c>
      <c r="E107" s="253">
        <v>0</v>
      </c>
      <c r="F107" s="253">
        <v>8692</v>
      </c>
      <c r="G107" s="186"/>
    </row>
    <row r="108" spans="1:7">
      <c r="A108" s="234" t="s">
        <v>455</v>
      </c>
      <c r="B108" s="252">
        <v>789</v>
      </c>
      <c r="C108" s="252">
        <v>40</v>
      </c>
      <c r="D108" s="252">
        <v>749</v>
      </c>
      <c r="E108" s="253">
        <v>0</v>
      </c>
      <c r="F108" s="253">
        <v>789</v>
      </c>
      <c r="G108" s="186"/>
    </row>
    <row r="109" spans="1:7">
      <c r="A109" s="234" t="s">
        <v>627</v>
      </c>
      <c r="B109" s="252">
        <v>200655</v>
      </c>
      <c r="C109" s="252">
        <v>27209</v>
      </c>
      <c r="D109" s="252">
        <v>173446</v>
      </c>
      <c r="E109" s="253">
        <v>0</v>
      </c>
      <c r="F109" s="253">
        <v>200655</v>
      </c>
      <c r="G109" s="186"/>
    </row>
    <row r="110" spans="1:7">
      <c r="A110" s="235" t="s">
        <v>523</v>
      </c>
      <c r="B110" s="250" t="s">
        <v>523</v>
      </c>
      <c r="C110" s="250" t="s">
        <v>523</v>
      </c>
      <c r="D110" s="250" t="s">
        <v>523</v>
      </c>
      <c r="E110" s="251" t="s">
        <v>523</v>
      </c>
      <c r="F110" s="251" t="s">
        <v>523</v>
      </c>
      <c r="G110" s="186"/>
    </row>
    <row r="111" spans="1:7">
      <c r="A111" s="233" t="s">
        <v>136</v>
      </c>
      <c r="B111" s="250">
        <v>387450</v>
      </c>
      <c r="C111" s="250">
        <v>65930</v>
      </c>
      <c r="D111" s="250">
        <v>321520</v>
      </c>
      <c r="E111" s="251">
        <v>14</v>
      </c>
      <c r="F111" s="251">
        <v>387436</v>
      </c>
      <c r="G111" s="186"/>
    </row>
    <row r="112" spans="1:7">
      <c r="A112" s="234" t="s">
        <v>454</v>
      </c>
      <c r="B112" s="252">
        <v>430</v>
      </c>
      <c r="C112" s="252">
        <v>30</v>
      </c>
      <c r="D112" s="252">
        <v>400</v>
      </c>
      <c r="E112" s="253">
        <v>0</v>
      </c>
      <c r="F112" s="253">
        <v>430</v>
      </c>
      <c r="G112" s="186"/>
    </row>
    <row r="113" spans="1:7">
      <c r="A113" s="234" t="s">
        <v>453</v>
      </c>
      <c r="B113" s="252">
        <v>17595</v>
      </c>
      <c r="C113" s="252">
        <v>1182</v>
      </c>
      <c r="D113" s="252">
        <v>16413</v>
      </c>
      <c r="E113" s="253">
        <v>0</v>
      </c>
      <c r="F113" s="253">
        <v>17595</v>
      </c>
      <c r="G113" s="186"/>
    </row>
    <row r="114" spans="1:7">
      <c r="A114" s="234" t="s">
        <v>137</v>
      </c>
      <c r="B114" s="252">
        <v>21063</v>
      </c>
      <c r="C114" s="252">
        <v>1526</v>
      </c>
      <c r="D114" s="252">
        <v>19537</v>
      </c>
      <c r="E114" s="253">
        <v>0</v>
      </c>
      <c r="F114" s="253">
        <v>21063</v>
      </c>
      <c r="G114" s="186"/>
    </row>
    <row r="115" spans="1:7">
      <c r="A115" s="234" t="s">
        <v>627</v>
      </c>
      <c r="B115" s="252">
        <v>348362</v>
      </c>
      <c r="C115" s="252">
        <v>63192</v>
      </c>
      <c r="D115" s="252">
        <v>285170</v>
      </c>
      <c r="E115" s="253">
        <v>14</v>
      </c>
      <c r="F115" s="253">
        <v>348348</v>
      </c>
      <c r="G115" s="186"/>
    </row>
    <row r="116" spans="1:7">
      <c r="A116" s="235" t="s">
        <v>523</v>
      </c>
      <c r="B116" s="252" t="s">
        <v>523</v>
      </c>
      <c r="C116" s="252" t="s">
        <v>523</v>
      </c>
      <c r="D116" s="253" t="s">
        <v>523</v>
      </c>
      <c r="E116" s="253" t="s">
        <v>523</v>
      </c>
      <c r="F116" s="253" t="s">
        <v>523</v>
      </c>
      <c r="G116" s="186"/>
    </row>
    <row r="117" spans="1:7">
      <c r="A117" s="233" t="s">
        <v>11</v>
      </c>
      <c r="B117" s="250">
        <v>70617</v>
      </c>
      <c r="C117" s="250">
        <v>3086</v>
      </c>
      <c r="D117" s="250">
        <v>67531</v>
      </c>
      <c r="E117" s="251">
        <v>3518</v>
      </c>
      <c r="F117" s="251">
        <v>67099</v>
      </c>
      <c r="G117" s="186" t="s">
        <v>631</v>
      </c>
    </row>
    <row r="118" spans="1:7">
      <c r="A118" s="234" t="s">
        <v>602</v>
      </c>
      <c r="B118" s="252">
        <v>605</v>
      </c>
      <c r="C118" s="252">
        <v>38</v>
      </c>
      <c r="D118" s="252">
        <v>567</v>
      </c>
      <c r="E118" s="253">
        <v>0</v>
      </c>
      <c r="F118" s="253">
        <v>605</v>
      </c>
      <c r="G118" s="186"/>
    </row>
    <row r="119" spans="1:7">
      <c r="A119" s="234" t="s">
        <v>452</v>
      </c>
      <c r="B119" s="252">
        <v>12303</v>
      </c>
      <c r="C119" s="252">
        <v>257</v>
      </c>
      <c r="D119" s="252">
        <v>12046</v>
      </c>
      <c r="E119" s="253">
        <v>291</v>
      </c>
      <c r="F119" s="253">
        <v>12012</v>
      </c>
      <c r="G119" s="186" t="s">
        <v>631</v>
      </c>
    </row>
    <row r="120" spans="1:7">
      <c r="A120" s="234" t="s">
        <v>627</v>
      </c>
      <c r="B120" s="252">
        <v>57709</v>
      </c>
      <c r="C120" s="252">
        <v>2791</v>
      </c>
      <c r="D120" s="252">
        <v>54918</v>
      </c>
      <c r="E120" s="253">
        <v>3227</v>
      </c>
      <c r="F120" s="253">
        <v>54482</v>
      </c>
      <c r="G120" s="186"/>
    </row>
    <row r="121" spans="1:7">
      <c r="A121" s="235" t="s">
        <v>523</v>
      </c>
      <c r="B121" s="252" t="s">
        <v>523</v>
      </c>
      <c r="C121" s="252" t="s">
        <v>523</v>
      </c>
      <c r="D121" s="253" t="s">
        <v>523</v>
      </c>
      <c r="E121" s="253" t="s">
        <v>523</v>
      </c>
      <c r="F121" s="253" t="s">
        <v>523</v>
      </c>
      <c r="G121" s="186"/>
    </row>
    <row r="122" spans="1:7">
      <c r="A122" s="233" t="s">
        <v>511</v>
      </c>
      <c r="B122" s="250">
        <v>37082</v>
      </c>
      <c r="C122" s="250">
        <v>2220</v>
      </c>
      <c r="D122" s="250">
        <v>34862</v>
      </c>
      <c r="E122" s="251">
        <v>2326</v>
      </c>
      <c r="F122" s="251">
        <v>34756</v>
      </c>
      <c r="G122" s="186"/>
    </row>
    <row r="123" spans="1:7">
      <c r="A123" s="234" t="s">
        <v>451</v>
      </c>
      <c r="B123" s="252">
        <v>7986</v>
      </c>
      <c r="C123" s="252">
        <v>349</v>
      </c>
      <c r="D123" s="252">
        <v>7637</v>
      </c>
      <c r="E123" s="253">
        <v>0</v>
      </c>
      <c r="F123" s="253">
        <v>7986</v>
      </c>
      <c r="G123" s="186"/>
    </row>
    <row r="124" spans="1:7">
      <c r="A124" s="234" t="s">
        <v>627</v>
      </c>
      <c r="B124" s="252">
        <v>29096</v>
      </c>
      <c r="C124" s="252">
        <v>1871</v>
      </c>
      <c r="D124" s="252">
        <v>27225</v>
      </c>
      <c r="E124" s="253">
        <v>2326</v>
      </c>
      <c r="F124" s="253">
        <v>26770</v>
      </c>
      <c r="G124" s="186"/>
    </row>
    <row r="125" spans="1:7">
      <c r="A125" s="235" t="s">
        <v>523</v>
      </c>
      <c r="B125" s="252" t="s">
        <v>523</v>
      </c>
      <c r="C125" s="252" t="s">
        <v>523</v>
      </c>
      <c r="D125" s="253" t="s">
        <v>523</v>
      </c>
      <c r="E125" s="253" t="s">
        <v>523</v>
      </c>
      <c r="F125" s="253" t="s">
        <v>523</v>
      </c>
      <c r="G125" s="186"/>
    </row>
    <row r="126" spans="1:7">
      <c r="A126" s="233" t="s">
        <v>13</v>
      </c>
      <c r="B126" s="250">
        <v>16663</v>
      </c>
      <c r="C126" s="250">
        <v>241</v>
      </c>
      <c r="D126" s="250">
        <v>16422</v>
      </c>
      <c r="E126" s="251">
        <v>1678</v>
      </c>
      <c r="F126" s="251">
        <v>14985</v>
      </c>
      <c r="G126" s="186"/>
    </row>
    <row r="127" spans="1:7">
      <c r="A127" s="234" t="s">
        <v>450</v>
      </c>
      <c r="B127" s="252">
        <v>1726</v>
      </c>
      <c r="C127" s="252">
        <v>-2</v>
      </c>
      <c r="D127" s="252">
        <v>1728</v>
      </c>
      <c r="E127" s="253">
        <v>0</v>
      </c>
      <c r="F127" s="253">
        <v>1726</v>
      </c>
      <c r="G127" s="186"/>
    </row>
    <row r="128" spans="1:7">
      <c r="A128" s="234" t="s">
        <v>449</v>
      </c>
      <c r="B128" s="252">
        <v>169</v>
      </c>
      <c r="C128" s="252">
        <v>0</v>
      </c>
      <c r="D128" s="252">
        <v>169</v>
      </c>
      <c r="E128" s="253">
        <v>0</v>
      </c>
      <c r="F128" s="253">
        <v>169</v>
      </c>
      <c r="G128" s="186"/>
    </row>
    <row r="129" spans="1:7">
      <c r="A129" s="234" t="s">
        <v>627</v>
      </c>
      <c r="B129" s="252">
        <v>14768</v>
      </c>
      <c r="C129" s="252">
        <v>243</v>
      </c>
      <c r="D129" s="252">
        <v>14525</v>
      </c>
      <c r="E129" s="253">
        <v>1678</v>
      </c>
      <c r="F129" s="253">
        <v>13090</v>
      </c>
      <c r="G129" s="186"/>
    </row>
    <row r="130" spans="1:7">
      <c r="A130" s="237" t="s">
        <v>523</v>
      </c>
      <c r="B130" s="252" t="s">
        <v>523</v>
      </c>
      <c r="C130" s="252" t="s">
        <v>523</v>
      </c>
      <c r="D130" s="252" t="s">
        <v>523</v>
      </c>
      <c r="E130" s="253" t="s">
        <v>523</v>
      </c>
      <c r="F130" s="253" t="s">
        <v>523</v>
      </c>
      <c r="G130" s="186"/>
    </row>
    <row r="131" spans="1:7">
      <c r="A131" s="233" t="s">
        <v>14</v>
      </c>
      <c r="B131" s="250">
        <v>982080</v>
      </c>
      <c r="C131" s="250">
        <v>117817</v>
      </c>
      <c r="D131" s="250">
        <v>864263</v>
      </c>
      <c r="E131" s="251">
        <v>590</v>
      </c>
      <c r="F131" s="251">
        <v>981490</v>
      </c>
      <c r="G131" s="186"/>
    </row>
    <row r="132" spans="1:7">
      <c r="A132" s="234" t="s">
        <v>448</v>
      </c>
      <c r="B132" s="252">
        <v>13824</v>
      </c>
      <c r="C132" s="252">
        <v>1169</v>
      </c>
      <c r="D132" s="252">
        <v>12655</v>
      </c>
      <c r="E132" s="253">
        <v>0</v>
      </c>
      <c r="F132" s="253">
        <v>13824</v>
      </c>
      <c r="G132" s="186"/>
    </row>
    <row r="133" spans="1:7">
      <c r="A133" s="234" t="s">
        <v>447</v>
      </c>
      <c r="B133" s="252">
        <v>1419</v>
      </c>
      <c r="C133" s="252">
        <v>-6</v>
      </c>
      <c r="D133" s="252">
        <v>1425</v>
      </c>
      <c r="E133" s="253">
        <v>0</v>
      </c>
      <c r="F133" s="253">
        <v>1419</v>
      </c>
      <c r="G133" s="186"/>
    </row>
    <row r="134" spans="1:7">
      <c r="A134" s="234" t="s">
        <v>446</v>
      </c>
      <c r="B134" s="252">
        <v>936250</v>
      </c>
      <c r="C134" s="252">
        <v>114466</v>
      </c>
      <c r="D134" s="252">
        <v>821784</v>
      </c>
      <c r="E134" s="253">
        <v>590</v>
      </c>
      <c r="F134" s="253">
        <v>935660</v>
      </c>
      <c r="G134" s="186"/>
    </row>
    <row r="135" spans="1:7">
      <c r="A135" s="234" t="s">
        <v>445</v>
      </c>
      <c r="B135" s="252">
        <v>23394</v>
      </c>
      <c r="C135" s="252">
        <v>2032</v>
      </c>
      <c r="D135" s="252">
        <v>21362</v>
      </c>
      <c r="E135" s="253">
        <v>0</v>
      </c>
      <c r="F135" s="253">
        <v>23394</v>
      </c>
      <c r="G135" s="186"/>
    </row>
    <row r="136" spans="1:7">
      <c r="A136" s="234" t="s">
        <v>444</v>
      </c>
      <c r="B136" s="252">
        <v>7193</v>
      </c>
      <c r="C136" s="252">
        <v>156</v>
      </c>
      <c r="D136" s="252">
        <v>7037</v>
      </c>
      <c r="E136" s="253">
        <v>0</v>
      </c>
      <c r="F136" s="253">
        <v>7193</v>
      </c>
      <c r="G136" s="186"/>
    </row>
    <row r="137" spans="1:7">
      <c r="A137" s="235" t="s">
        <v>523</v>
      </c>
      <c r="B137" s="252" t="s">
        <v>523</v>
      </c>
      <c r="C137" s="252" t="s">
        <v>523</v>
      </c>
      <c r="D137" s="252" t="s">
        <v>523</v>
      </c>
      <c r="E137" s="253" t="s">
        <v>523</v>
      </c>
      <c r="F137" s="253" t="s">
        <v>523</v>
      </c>
      <c r="G137" s="186"/>
    </row>
    <row r="138" spans="1:7">
      <c r="A138" s="233" t="s">
        <v>15</v>
      </c>
      <c r="B138" s="250">
        <v>323714</v>
      </c>
      <c r="C138" s="250">
        <v>26095</v>
      </c>
      <c r="D138" s="250">
        <v>297619</v>
      </c>
      <c r="E138" s="251">
        <v>2353</v>
      </c>
      <c r="F138" s="251">
        <v>321361</v>
      </c>
      <c r="G138" s="186"/>
    </row>
    <row r="139" spans="1:7">
      <c r="A139" s="234" t="s">
        <v>443</v>
      </c>
      <c r="B139" s="252">
        <v>1782</v>
      </c>
      <c r="C139" s="252">
        <v>84</v>
      </c>
      <c r="D139" s="252">
        <v>1698</v>
      </c>
      <c r="E139" s="253">
        <v>0</v>
      </c>
      <c r="F139" s="253">
        <v>1782</v>
      </c>
      <c r="G139" s="186"/>
    </row>
    <row r="140" spans="1:7">
      <c r="A140" s="234" t="s">
        <v>138</v>
      </c>
      <c r="B140" s="252">
        <v>55498</v>
      </c>
      <c r="C140" s="252">
        <v>3575</v>
      </c>
      <c r="D140" s="252">
        <v>51923</v>
      </c>
      <c r="E140" s="253">
        <v>22</v>
      </c>
      <c r="F140" s="253">
        <v>55476</v>
      </c>
      <c r="G140" s="186"/>
    </row>
    <row r="141" spans="1:7">
      <c r="A141" s="234" t="s">
        <v>627</v>
      </c>
      <c r="B141" s="252">
        <v>266434</v>
      </c>
      <c r="C141" s="252">
        <v>22436</v>
      </c>
      <c r="D141" s="252">
        <v>243998</v>
      </c>
      <c r="E141" s="253">
        <v>2331</v>
      </c>
      <c r="F141" s="253">
        <v>264103</v>
      </c>
      <c r="G141" s="186"/>
    </row>
    <row r="142" spans="1:7">
      <c r="A142" s="235" t="s">
        <v>523</v>
      </c>
      <c r="B142" s="252" t="s">
        <v>523</v>
      </c>
      <c r="C142" s="252" t="s">
        <v>523</v>
      </c>
      <c r="D142" s="253" t="s">
        <v>523</v>
      </c>
      <c r="E142" s="253" t="s">
        <v>523</v>
      </c>
      <c r="F142" s="253" t="s">
        <v>523</v>
      </c>
      <c r="G142" s="186"/>
    </row>
    <row r="143" spans="1:7">
      <c r="A143" s="233" t="s">
        <v>16</v>
      </c>
      <c r="B143" s="250">
        <v>114173</v>
      </c>
      <c r="C143" s="250">
        <v>18477</v>
      </c>
      <c r="D143" s="250">
        <v>95696</v>
      </c>
      <c r="E143" s="251">
        <v>0</v>
      </c>
      <c r="F143" s="251">
        <v>114173</v>
      </c>
      <c r="G143" s="186"/>
    </row>
    <row r="144" spans="1:7">
      <c r="A144" s="234" t="s">
        <v>442</v>
      </c>
      <c r="B144" s="252">
        <v>382</v>
      </c>
      <c r="C144" s="252">
        <v>44</v>
      </c>
      <c r="D144" s="252">
        <v>338</v>
      </c>
      <c r="E144" s="253">
        <v>0</v>
      </c>
      <c r="F144" s="253">
        <v>382</v>
      </c>
      <c r="G144" s="186"/>
    </row>
    <row r="145" spans="1:7">
      <c r="A145" s="234" t="s">
        <v>441</v>
      </c>
      <c r="B145" s="252">
        <v>3507</v>
      </c>
      <c r="C145" s="252">
        <v>831</v>
      </c>
      <c r="D145" s="252">
        <v>2676</v>
      </c>
      <c r="E145" s="253">
        <v>0</v>
      </c>
      <c r="F145" s="253">
        <v>3507</v>
      </c>
      <c r="G145" s="186"/>
    </row>
    <row r="146" spans="1:7">
      <c r="A146" s="234" t="s">
        <v>185</v>
      </c>
      <c r="B146" s="252">
        <v>4700</v>
      </c>
      <c r="C146" s="252">
        <v>276</v>
      </c>
      <c r="D146" s="252">
        <v>4424</v>
      </c>
      <c r="E146" s="253">
        <v>0</v>
      </c>
      <c r="F146" s="253">
        <v>4700</v>
      </c>
      <c r="G146" s="186"/>
    </row>
    <row r="147" spans="1:7">
      <c r="A147" s="234" t="s">
        <v>217</v>
      </c>
      <c r="B147" s="252">
        <v>6</v>
      </c>
      <c r="C147" s="252">
        <v>-10</v>
      </c>
      <c r="D147" s="252">
        <v>16</v>
      </c>
      <c r="E147" s="253">
        <v>0</v>
      </c>
      <c r="F147" s="253">
        <v>6</v>
      </c>
      <c r="G147" s="186"/>
    </row>
    <row r="148" spans="1:7">
      <c r="A148" s="234" t="s">
        <v>139</v>
      </c>
      <c r="B148" s="252">
        <v>89437</v>
      </c>
      <c r="C148" s="252">
        <v>14257</v>
      </c>
      <c r="D148" s="252">
        <v>75180</v>
      </c>
      <c r="E148" s="253">
        <v>0</v>
      </c>
      <c r="F148" s="253">
        <v>89437</v>
      </c>
      <c r="G148" s="186"/>
    </row>
    <row r="149" spans="1:7">
      <c r="A149" s="234" t="s">
        <v>627</v>
      </c>
      <c r="B149" s="252">
        <v>16141</v>
      </c>
      <c r="C149" s="252">
        <v>3079</v>
      </c>
      <c r="D149" s="252">
        <v>13062</v>
      </c>
      <c r="E149" s="253">
        <v>0</v>
      </c>
      <c r="F149" s="253">
        <v>16141</v>
      </c>
      <c r="G149" s="186"/>
    </row>
    <row r="150" spans="1:7">
      <c r="A150" s="235" t="s">
        <v>523</v>
      </c>
      <c r="B150" s="252" t="s">
        <v>523</v>
      </c>
      <c r="C150" s="252" t="s">
        <v>523</v>
      </c>
      <c r="D150" s="253" t="s">
        <v>523</v>
      </c>
      <c r="E150" s="253" t="s">
        <v>523</v>
      </c>
      <c r="F150" s="253" t="s">
        <v>523</v>
      </c>
      <c r="G150" s="186"/>
    </row>
    <row r="151" spans="1:7">
      <c r="A151" s="233" t="s">
        <v>17</v>
      </c>
      <c r="B151" s="250">
        <v>11864</v>
      </c>
      <c r="C151" s="250">
        <v>315</v>
      </c>
      <c r="D151" s="250">
        <v>11549</v>
      </c>
      <c r="E151" s="251">
        <v>1252</v>
      </c>
      <c r="F151" s="251">
        <v>10612</v>
      </c>
      <c r="G151" s="186"/>
    </row>
    <row r="152" spans="1:7">
      <c r="A152" s="234" t="s">
        <v>440</v>
      </c>
      <c r="B152" s="252">
        <v>2350</v>
      </c>
      <c r="C152" s="252">
        <v>119</v>
      </c>
      <c r="D152" s="252">
        <v>2231</v>
      </c>
      <c r="E152" s="253">
        <v>0</v>
      </c>
      <c r="F152" s="253">
        <v>2350</v>
      </c>
      <c r="G152" s="186"/>
    </row>
    <row r="153" spans="1:7">
      <c r="A153" s="234" t="s">
        <v>439</v>
      </c>
      <c r="B153" s="252">
        <v>2640</v>
      </c>
      <c r="C153" s="252">
        <v>-138</v>
      </c>
      <c r="D153" s="252">
        <v>2778</v>
      </c>
      <c r="E153" s="253">
        <v>987</v>
      </c>
      <c r="F153" s="253">
        <v>1653</v>
      </c>
      <c r="G153" s="186"/>
    </row>
    <row r="154" spans="1:7">
      <c r="A154" s="234" t="s">
        <v>627</v>
      </c>
      <c r="B154" s="252">
        <v>6874</v>
      </c>
      <c r="C154" s="252">
        <v>334</v>
      </c>
      <c r="D154" s="252">
        <v>6540</v>
      </c>
      <c r="E154" s="253">
        <v>265</v>
      </c>
      <c r="F154" s="253">
        <v>6609</v>
      </c>
      <c r="G154" s="186"/>
    </row>
    <row r="155" spans="1:7">
      <c r="A155" s="235" t="s">
        <v>523</v>
      </c>
      <c r="B155" s="252" t="s">
        <v>523</v>
      </c>
      <c r="C155" s="252" t="s">
        <v>523</v>
      </c>
      <c r="D155" s="253" t="s">
        <v>523</v>
      </c>
      <c r="E155" s="253" t="s">
        <v>523</v>
      </c>
      <c r="F155" s="253" t="s">
        <v>523</v>
      </c>
      <c r="G155" s="186"/>
    </row>
    <row r="156" spans="1:7">
      <c r="A156" s="233" t="s">
        <v>18</v>
      </c>
      <c r="B156" s="250">
        <v>46226</v>
      </c>
      <c r="C156" s="250">
        <v>-163</v>
      </c>
      <c r="D156" s="250">
        <v>46389</v>
      </c>
      <c r="E156" s="251">
        <v>3033</v>
      </c>
      <c r="F156" s="251">
        <v>43193</v>
      </c>
      <c r="G156" s="186" t="s">
        <v>631</v>
      </c>
    </row>
    <row r="157" spans="1:7">
      <c r="A157" s="234" t="s">
        <v>438</v>
      </c>
      <c r="B157" s="252">
        <v>3302</v>
      </c>
      <c r="C157" s="252">
        <v>-350</v>
      </c>
      <c r="D157" s="252">
        <v>3652</v>
      </c>
      <c r="E157" s="253">
        <v>999</v>
      </c>
      <c r="F157" s="253">
        <v>2303</v>
      </c>
      <c r="G157" s="186" t="s">
        <v>631</v>
      </c>
    </row>
    <row r="158" spans="1:7">
      <c r="A158" s="234" t="s">
        <v>437</v>
      </c>
      <c r="B158" s="252">
        <v>611</v>
      </c>
      <c r="C158" s="252">
        <v>9</v>
      </c>
      <c r="D158" s="252">
        <v>602</v>
      </c>
      <c r="E158" s="253">
        <v>0</v>
      </c>
      <c r="F158" s="253">
        <v>611</v>
      </c>
      <c r="G158" s="186"/>
    </row>
    <row r="159" spans="1:7">
      <c r="A159" s="234" t="s">
        <v>436</v>
      </c>
      <c r="B159" s="252">
        <v>1667</v>
      </c>
      <c r="C159" s="252">
        <v>207</v>
      </c>
      <c r="D159" s="252">
        <v>1460</v>
      </c>
      <c r="E159" s="253">
        <v>0</v>
      </c>
      <c r="F159" s="253">
        <v>1667</v>
      </c>
      <c r="G159" s="186"/>
    </row>
    <row r="160" spans="1:7">
      <c r="A160" s="234" t="s">
        <v>435</v>
      </c>
      <c r="B160" s="252">
        <v>1880</v>
      </c>
      <c r="C160" s="252">
        <v>126</v>
      </c>
      <c r="D160" s="252">
        <v>1754</v>
      </c>
      <c r="E160" s="253">
        <v>0</v>
      </c>
      <c r="F160" s="253">
        <v>1880</v>
      </c>
      <c r="G160" s="186"/>
    </row>
    <row r="161" spans="1:7">
      <c r="A161" s="234" t="s">
        <v>434</v>
      </c>
      <c r="B161" s="252">
        <v>3467</v>
      </c>
      <c r="C161" s="252">
        <v>463</v>
      </c>
      <c r="D161" s="252">
        <v>3004</v>
      </c>
      <c r="E161" s="253">
        <v>0</v>
      </c>
      <c r="F161" s="253">
        <v>3467</v>
      </c>
      <c r="G161" s="186"/>
    </row>
    <row r="162" spans="1:7">
      <c r="A162" s="234" t="s">
        <v>433</v>
      </c>
      <c r="B162" s="252">
        <v>7919</v>
      </c>
      <c r="C162" s="252">
        <v>-53</v>
      </c>
      <c r="D162" s="252">
        <v>7972</v>
      </c>
      <c r="E162" s="253">
        <v>403</v>
      </c>
      <c r="F162" s="253">
        <v>7516</v>
      </c>
      <c r="G162" s="186"/>
    </row>
    <row r="163" spans="1:7">
      <c r="A163" s="234" t="s">
        <v>627</v>
      </c>
      <c r="B163" s="252">
        <v>27380</v>
      </c>
      <c r="C163" s="252">
        <v>-565</v>
      </c>
      <c r="D163" s="252">
        <v>27945</v>
      </c>
      <c r="E163" s="253">
        <v>1631</v>
      </c>
      <c r="F163" s="253">
        <v>25749</v>
      </c>
      <c r="G163" s="186" t="s">
        <v>631</v>
      </c>
    </row>
    <row r="164" spans="1:7">
      <c r="A164" s="235" t="s">
        <v>523</v>
      </c>
      <c r="B164" s="252" t="s">
        <v>523</v>
      </c>
      <c r="C164" s="252" t="s">
        <v>523</v>
      </c>
      <c r="D164" s="253" t="s">
        <v>523</v>
      </c>
      <c r="E164" s="253" t="s">
        <v>523</v>
      </c>
      <c r="F164" s="253" t="s">
        <v>523</v>
      </c>
      <c r="G164" s="186"/>
    </row>
    <row r="165" spans="1:7">
      <c r="A165" s="233" t="s">
        <v>19</v>
      </c>
      <c r="B165" s="250">
        <v>18269</v>
      </c>
      <c r="C165" s="250">
        <v>1330</v>
      </c>
      <c r="D165" s="250">
        <v>16939</v>
      </c>
      <c r="E165" s="251">
        <v>777</v>
      </c>
      <c r="F165" s="251">
        <v>17492</v>
      </c>
      <c r="G165" s="186"/>
    </row>
    <row r="166" spans="1:7">
      <c r="A166" s="234" t="s">
        <v>432</v>
      </c>
      <c r="B166" s="252">
        <v>542</v>
      </c>
      <c r="C166" s="252">
        <v>86</v>
      </c>
      <c r="D166" s="252">
        <v>456</v>
      </c>
      <c r="E166" s="253">
        <v>0</v>
      </c>
      <c r="F166" s="253">
        <v>542</v>
      </c>
      <c r="G166" s="186"/>
    </row>
    <row r="167" spans="1:7">
      <c r="A167" s="234" t="s">
        <v>370</v>
      </c>
      <c r="B167" s="252">
        <v>389</v>
      </c>
      <c r="C167" s="252">
        <v>111</v>
      </c>
      <c r="D167" s="252">
        <v>278</v>
      </c>
      <c r="E167" s="253">
        <v>0</v>
      </c>
      <c r="F167" s="253">
        <v>389</v>
      </c>
      <c r="G167" s="186"/>
    </row>
    <row r="168" spans="1:7">
      <c r="A168" s="234" t="s">
        <v>431</v>
      </c>
      <c r="B168" s="252">
        <v>2234</v>
      </c>
      <c r="C168" s="252">
        <v>235</v>
      </c>
      <c r="D168" s="252">
        <v>1999</v>
      </c>
      <c r="E168" s="253">
        <v>0</v>
      </c>
      <c r="F168" s="253">
        <v>2234</v>
      </c>
      <c r="G168" s="186"/>
    </row>
    <row r="169" spans="1:7">
      <c r="A169" s="234" t="s">
        <v>627</v>
      </c>
      <c r="B169" s="252">
        <v>15104</v>
      </c>
      <c r="C169" s="252">
        <v>898</v>
      </c>
      <c r="D169" s="252">
        <v>14206</v>
      </c>
      <c r="E169" s="253">
        <v>777</v>
      </c>
      <c r="F169" s="253">
        <v>14327</v>
      </c>
      <c r="G169" s="186"/>
    </row>
    <row r="170" spans="1:7">
      <c r="A170" s="235" t="s">
        <v>523</v>
      </c>
      <c r="B170" s="252" t="s">
        <v>523</v>
      </c>
      <c r="C170" s="252" t="s">
        <v>523</v>
      </c>
      <c r="D170" s="253" t="s">
        <v>523</v>
      </c>
      <c r="E170" s="253" t="s">
        <v>523</v>
      </c>
      <c r="F170" s="253" t="s">
        <v>523</v>
      </c>
      <c r="G170" s="186"/>
    </row>
    <row r="171" spans="1:7">
      <c r="A171" s="233" t="s">
        <v>20</v>
      </c>
      <c r="B171" s="250">
        <v>13609</v>
      </c>
      <c r="C171" s="250">
        <v>725</v>
      </c>
      <c r="D171" s="250">
        <v>12884</v>
      </c>
      <c r="E171" s="251">
        <v>958</v>
      </c>
      <c r="F171" s="251">
        <v>12651</v>
      </c>
      <c r="G171" s="186"/>
    </row>
    <row r="172" spans="1:7">
      <c r="A172" s="234" t="s">
        <v>430</v>
      </c>
      <c r="B172" s="252">
        <v>1778</v>
      </c>
      <c r="C172" s="252">
        <v>98</v>
      </c>
      <c r="D172" s="252">
        <v>1680</v>
      </c>
      <c r="E172" s="253">
        <v>0</v>
      </c>
      <c r="F172" s="253">
        <v>1778</v>
      </c>
      <c r="G172" s="186"/>
    </row>
    <row r="173" spans="1:7">
      <c r="A173" s="234" t="s">
        <v>627</v>
      </c>
      <c r="B173" s="252">
        <v>11831</v>
      </c>
      <c r="C173" s="252">
        <v>627</v>
      </c>
      <c r="D173" s="252">
        <v>11204</v>
      </c>
      <c r="E173" s="253">
        <v>958</v>
      </c>
      <c r="F173" s="253">
        <v>10873</v>
      </c>
      <c r="G173" s="186"/>
    </row>
    <row r="174" spans="1:7">
      <c r="A174" s="235" t="s">
        <v>523</v>
      </c>
      <c r="B174" s="252" t="s">
        <v>523</v>
      </c>
      <c r="C174" s="252" t="s">
        <v>523</v>
      </c>
      <c r="D174" s="253" t="s">
        <v>523</v>
      </c>
      <c r="E174" s="253" t="s">
        <v>523</v>
      </c>
      <c r="F174" s="253" t="s">
        <v>523</v>
      </c>
      <c r="G174" s="186"/>
    </row>
    <row r="175" spans="1:7">
      <c r="A175" s="233" t="s">
        <v>21</v>
      </c>
      <c r="B175" s="250">
        <v>14724</v>
      </c>
      <c r="C175" s="250">
        <v>-1139</v>
      </c>
      <c r="D175" s="250">
        <v>15863</v>
      </c>
      <c r="E175" s="251">
        <v>1088</v>
      </c>
      <c r="F175" s="251">
        <v>13636</v>
      </c>
      <c r="G175" s="186"/>
    </row>
    <row r="176" spans="1:7">
      <c r="A176" s="234" t="s">
        <v>429</v>
      </c>
      <c r="B176" s="252">
        <v>3741</v>
      </c>
      <c r="C176" s="252">
        <v>296</v>
      </c>
      <c r="D176" s="252">
        <v>3445</v>
      </c>
      <c r="E176" s="253">
        <v>0</v>
      </c>
      <c r="F176" s="253">
        <v>3741</v>
      </c>
      <c r="G176" s="186"/>
    </row>
    <row r="177" spans="1:7">
      <c r="A177" s="234" t="s">
        <v>428</v>
      </c>
      <c r="B177" s="252">
        <v>1992</v>
      </c>
      <c r="C177" s="252">
        <v>11</v>
      </c>
      <c r="D177" s="252">
        <v>1981</v>
      </c>
      <c r="E177" s="253">
        <v>0</v>
      </c>
      <c r="F177" s="253">
        <v>1992</v>
      </c>
      <c r="G177" s="186"/>
    </row>
    <row r="178" spans="1:7">
      <c r="A178" s="234" t="s">
        <v>627</v>
      </c>
      <c r="B178" s="252">
        <v>8991</v>
      </c>
      <c r="C178" s="252">
        <v>-1446</v>
      </c>
      <c r="D178" s="252">
        <v>10437</v>
      </c>
      <c r="E178" s="253">
        <v>1088</v>
      </c>
      <c r="F178" s="253">
        <v>7903</v>
      </c>
      <c r="G178" s="186"/>
    </row>
    <row r="179" spans="1:7">
      <c r="A179" s="237" t="s">
        <v>523</v>
      </c>
      <c r="B179" s="252" t="s">
        <v>523</v>
      </c>
      <c r="C179" s="252" t="s">
        <v>523</v>
      </c>
      <c r="D179" s="253" t="s">
        <v>523</v>
      </c>
      <c r="E179" s="253" t="s">
        <v>523</v>
      </c>
      <c r="F179" s="253" t="s">
        <v>523</v>
      </c>
      <c r="G179" s="186"/>
    </row>
    <row r="180" spans="1:7">
      <c r="A180" s="233" t="s">
        <v>22</v>
      </c>
      <c r="B180" s="250">
        <v>14570</v>
      </c>
      <c r="C180" s="250">
        <v>-229</v>
      </c>
      <c r="D180" s="250">
        <v>14799</v>
      </c>
      <c r="E180" s="251">
        <v>2295</v>
      </c>
      <c r="F180" s="251">
        <v>12275</v>
      </c>
      <c r="G180" s="186"/>
    </row>
    <row r="181" spans="1:7">
      <c r="A181" s="234" t="s">
        <v>427</v>
      </c>
      <c r="B181" s="252">
        <v>2644</v>
      </c>
      <c r="C181" s="252">
        <v>-1902</v>
      </c>
      <c r="D181" s="252">
        <v>4546</v>
      </c>
      <c r="E181" s="253">
        <v>1033</v>
      </c>
      <c r="F181" s="253">
        <v>1611</v>
      </c>
      <c r="G181" s="186"/>
    </row>
    <row r="182" spans="1:7">
      <c r="A182" s="234" t="s">
        <v>426</v>
      </c>
      <c r="B182" s="252">
        <v>869</v>
      </c>
      <c r="C182" s="252">
        <v>-9</v>
      </c>
      <c r="D182" s="252">
        <v>878</v>
      </c>
      <c r="E182" s="253">
        <v>0</v>
      </c>
      <c r="F182" s="253">
        <v>869</v>
      </c>
      <c r="G182" s="186"/>
    </row>
    <row r="183" spans="1:7">
      <c r="A183" s="234" t="s">
        <v>425</v>
      </c>
      <c r="B183" s="252">
        <v>822</v>
      </c>
      <c r="C183" s="252">
        <v>45</v>
      </c>
      <c r="D183" s="252">
        <v>777</v>
      </c>
      <c r="E183" s="253">
        <v>0</v>
      </c>
      <c r="F183" s="253">
        <v>822</v>
      </c>
      <c r="G183" s="186"/>
    </row>
    <row r="184" spans="1:7">
      <c r="A184" s="234" t="s">
        <v>627</v>
      </c>
      <c r="B184" s="252">
        <v>10235</v>
      </c>
      <c r="C184" s="252">
        <v>1637</v>
      </c>
      <c r="D184" s="252">
        <v>8598</v>
      </c>
      <c r="E184" s="253">
        <v>1262</v>
      </c>
      <c r="F184" s="253">
        <v>8973</v>
      </c>
      <c r="G184" s="186"/>
    </row>
    <row r="185" spans="1:7">
      <c r="A185" s="235" t="s">
        <v>523</v>
      </c>
      <c r="B185" s="252" t="s">
        <v>523</v>
      </c>
      <c r="C185" s="252" t="s">
        <v>523</v>
      </c>
      <c r="D185" s="253" t="s">
        <v>523</v>
      </c>
      <c r="E185" s="253" t="s">
        <v>523</v>
      </c>
      <c r="F185" s="253" t="s">
        <v>523</v>
      </c>
      <c r="G185" s="186"/>
    </row>
    <row r="186" spans="1:7">
      <c r="A186" s="233" t="s">
        <v>23</v>
      </c>
      <c r="B186" s="250">
        <v>27443</v>
      </c>
      <c r="C186" s="250">
        <v>-288</v>
      </c>
      <c r="D186" s="250">
        <v>27731</v>
      </c>
      <c r="E186" s="251">
        <v>1676</v>
      </c>
      <c r="F186" s="251">
        <v>25767</v>
      </c>
      <c r="G186" s="186"/>
    </row>
    <row r="187" spans="1:7">
      <c r="A187" s="234" t="s">
        <v>424</v>
      </c>
      <c r="B187" s="252">
        <v>2913</v>
      </c>
      <c r="C187" s="252">
        <v>-17</v>
      </c>
      <c r="D187" s="252">
        <v>2930</v>
      </c>
      <c r="E187" s="253">
        <v>0</v>
      </c>
      <c r="F187" s="253">
        <v>2913</v>
      </c>
      <c r="G187" s="186"/>
    </row>
    <row r="188" spans="1:7">
      <c r="A188" s="234" t="s">
        <v>423</v>
      </c>
      <c r="B188" s="252">
        <v>5240</v>
      </c>
      <c r="C188" s="252">
        <v>239</v>
      </c>
      <c r="D188" s="252">
        <v>5001</v>
      </c>
      <c r="E188" s="253">
        <v>0</v>
      </c>
      <c r="F188" s="253">
        <v>5240</v>
      </c>
      <c r="G188" s="186"/>
    </row>
    <row r="189" spans="1:7">
      <c r="A189" s="234" t="s">
        <v>422</v>
      </c>
      <c r="B189" s="252">
        <v>1790</v>
      </c>
      <c r="C189" s="252">
        <v>-37</v>
      </c>
      <c r="D189" s="252">
        <v>1827</v>
      </c>
      <c r="E189" s="253">
        <v>0</v>
      </c>
      <c r="F189" s="253">
        <v>1790</v>
      </c>
      <c r="G189" s="186"/>
    </row>
    <row r="190" spans="1:7">
      <c r="A190" s="234" t="s">
        <v>627</v>
      </c>
      <c r="B190" s="252">
        <v>17500</v>
      </c>
      <c r="C190" s="252">
        <v>-473</v>
      </c>
      <c r="D190" s="252">
        <v>17973</v>
      </c>
      <c r="E190" s="253">
        <v>1676</v>
      </c>
      <c r="F190" s="253">
        <v>15824</v>
      </c>
      <c r="G190" s="186"/>
    </row>
    <row r="191" spans="1:7">
      <c r="A191" s="235" t="s">
        <v>523</v>
      </c>
      <c r="B191" s="252" t="s">
        <v>523</v>
      </c>
      <c r="C191" s="252" t="s">
        <v>523</v>
      </c>
      <c r="D191" s="253" t="s">
        <v>523</v>
      </c>
      <c r="E191" s="253" t="s">
        <v>523</v>
      </c>
      <c r="F191" s="253" t="s">
        <v>523</v>
      </c>
      <c r="G191" s="186"/>
    </row>
    <row r="192" spans="1:7">
      <c r="A192" s="233" t="s">
        <v>24</v>
      </c>
      <c r="B192" s="250">
        <v>40953</v>
      </c>
      <c r="C192" s="250">
        <v>1813</v>
      </c>
      <c r="D192" s="250">
        <v>39140</v>
      </c>
      <c r="E192" s="251">
        <v>0</v>
      </c>
      <c r="F192" s="251">
        <v>40953</v>
      </c>
      <c r="G192" s="186"/>
    </row>
    <row r="193" spans="1:7">
      <c r="A193" s="234" t="s">
        <v>421</v>
      </c>
      <c r="B193" s="252">
        <v>8021</v>
      </c>
      <c r="C193" s="252">
        <v>866</v>
      </c>
      <c r="D193" s="252">
        <v>7155</v>
      </c>
      <c r="E193" s="253">
        <v>0</v>
      </c>
      <c r="F193" s="253">
        <v>8021</v>
      </c>
      <c r="G193" s="186"/>
    </row>
    <row r="194" spans="1:7">
      <c r="A194" s="234" t="s">
        <v>420</v>
      </c>
      <c r="B194" s="252">
        <v>5151</v>
      </c>
      <c r="C194" s="252">
        <v>511</v>
      </c>
      <c r="D194" s="252">
        <v>4640</v>
      </c>
      <c r="E194" s="253">
        <v>0</v>
      </c>
      <c r="F194" s="253">
        <v>5151</v>
      </c>
      <c r="G194" s="186"/>
    </row>
    <row r="195" spans="1:7">
      <c r="A195" s="234" t="s">
        <v>627</v>
      </c>
      <c r="B195" s="252">
        <v>27781</v>
      </c>
      <c r="C195" s="252">
        <v>436</v>
      </c>
      <c r="D195" s="252">
        <v>27345</v>
      </c>
      <c r="E195" s="253">
        <v>0</v>
      </c>
      <c r="F195" s="253">
        <v>27781</v>
      </c>
      <c r="G195" s="186"/>
    </row>
    <row r="196" spans="1:7">
      <c r="A196" s="238" t="s">
        <v>523</v>
      </c>
      <c r="B196" s="252" t="s">
        <v>523</v>
      </c>
      <c r="C196" s="252" t="s">
        <v>523</v>
      </c>
      <c r="D196" s="253" t="s">
        <v>523</v>
      </c>
      <c r="E196" s="253" t="s">
        <v>523</v>
      </c>
      <c r="F196" s="253" t="s">
        <v>523</v>
      </c>
      <c r="G196" s="186"/>
    </row>
    <row r="197" spans="1:7">
      <c r="A197" s="233" t="s">
        <v>25</v>
      </c>
      <c r="B197" s="250">
        <v>192186</v>
      </c>
      <c r="C197" s="250">
        <v>19408</v>
      </c>
      <c r="D197" s="250">
        <v>172778</v>
      </c>
      <c r="E197" s="251">
        <v>502</v>
      </c>
      <c r="F197" s="251">
        <v>191684</v>
      </c>
      <c r="G197" s="186"/>
    </row>
    <row r="198" spans="1:7">
      <c r="A198" s="234" t="s">
        <v>419</v>
      </c>
      <c r="B198" s="252">
        <v>8983</v>
      </c>
      <c r="C198" s="252">
        <v>1264</v>
      </c>
      <c r="D198" s="252">
        <v>7719</v>
      </c>
      <c r="E198" s="253">
        <v>0</v>
      </c>
      <c r="F198" s="253">
        <v>8983</v>
      </c>
      <c r="G198" s="186"/>
    </row>
    <row r="199" spans="1:7">
      <c r="A199" s="234" t="s">
        <v>418</v>
      </c>
      <c r="B199" s="252">
        <v>9</v>
      </c>
      <c r="C199" s="252">
        <v>-3</v>
      </c>
      <c r="D199" s="252">
        <v>12</v>
      </c>
      <c r="E199" s="253">
        <v>0</v>
      </c>
      <c r="F199" s="253">
        <v>9</v>
      </c>
      <c r="G199" s="186"/>
    </row>
    <row r="200" spans="1:7">
      <c r="A200" s="234" t="s">
        <v>627</v>
      </c>
      <c r="B200" s="252">
        <v>183194</v>
      </c>
      <c r="C200" s="252">
        <v>18147</v>
      </c>
      <c r="D200" s="252">
        <v>165047</v>
      </c>
      <c r="E200" s="253">
        <v>502</v>
      </c>
      <c r="F200" s="253">
        <v>182692</v>
      </c>
      <c r="G200" s="186"/>
    </row>
    <row r="201" spans="1:7">
      <c r="A201" s="237" t="s">
        <v>523</v>
      </c>
      <c r="B201" s="252" t="s">
        <v>523</v>
      </c>
      <c r="C201" s="252" t="s">
        <v>523</v>
      </c>
      <c r="D201" s="252" t="s">
        <v>523</v>
      </c>
      <c r="E201" s="253" t="s">
        <v>523</v>
      </c>
      <c r="F201" s="253" t="s">
        <v>523</v>
      </c>
      <c r="G201" s="186"/>
    </row>
    <row r="202" spans="1:7">
      <c r="A202" s="233" t="s">
        <v>26</v>
      </c>
      <c r="B202" s="250">
        <v>104834</v>
      </c>
      <c r="C202" s="250">
        <v>6048</v>
      </c>
      <c r="D202" s="250">
        <v>98786</v>
      </c>
      <c r="E202" s="251">
        <v>24</v>
      </c>
      <c r="F202" s="251">
        <v>104810</v>
      </c>
      <c r="G202" s="186"/>
    </row>
    <row r="203" spans="1:7">
      <c r="A203" s="234" t="s">
        <v>417</v>
      </c>
      <c r="B203" s="252">
        <v>11201</v>
      </c>
      <c r="C203" s="252">
        <v>2365</v>
      </c>
      <c r="D203" s="252">
        <v>8836</v>
      </c>
      <c r="E203" s="253">
        <v>0</v>
      </c>
      <c r="F203" s="253">
        <v>11201</v>
      </c>
      <c r="G203" s="186"/>
    </row>
    <row r="204" spans="1:7">
      <c r="A204" s="234" t="s">
        <v>416</v>
      </c>
      <c r="B204" s="252">
        <v>2840</v>
      </c>
      <c r="C204" s="252">
        <v>617</v>
      </c>
      <c r="D204" s="252">
        <v>2223</v>
      </c>
      <c r="E204" s="253">
        <v>0</v>
      </c>
      <c r="F204" s="253">
        <v>2840</v>
      </c>
      <c r="G204" s="186"/>
    </row>
    <row r="205" spans="1:7">
      <c r="A205" s="234" t="s">
        <v>415</v>
      </c>
      <c r="B205" s="252">
        <v>11208</v>
      </c>
      <c r="C205" s="252">
        <v>717</v>
      </c>
      <c r="D205" s="252">
        <v>10491</v>
      </c>
      <c r="E205" s="253">
        <v>0</v>
      </c>
      <c r="F205" s="253">
        <v>11208</v>
      </c>
      <c r="G205" s="186"/>
    </row>
    <row r="206" spans="1:7">
      <c r="A206" s="234" t="s">
        <v>627</v>
      </c>
      <c r="B206" s="252">
        <v>79585</v>
      </c>
      <c r="C206" s="252">
        <v>2349</v>
      </c>
      <c r="D206" s="252">
        <v>77236</v>
      </c>
      <c r="E206" s="253">
        <v>24</v>
      </c>
      <c r="F206" s="253">
        <v>79561</v>
      </c>
      <c r="G206" s="186"/>
    </row>
    <row r="207" spans="1:7">
      <c r="A207" s="237" t="s">
        <v>523</v>
      </c>
      <c r="B207" s="252" t="s">
        <v>523</v>
      </c>
      <c r="C207" s="252" t="s">
        <v>523</v>
      </c>
      <c r="D207" s="252" t="s">
        <v>523</v>
      </c>
      <c r="E207" s="253" t="s">
        <v>523</v>
      </c>
      <c r="F207" s="253" t="s">
        <v>523</v>
      </c>
      <c r="G207" s="186"/>
    </row>
    <row r="208" spans="1:7">
      <c r="A208" s="233" t="s">
        <v>27</v>
      </c>
      <c r="B208" s="250">
        <v>1478759</v>
      </c>
      <c r="C208" s="250">
        <v>249533</v>
      </c>
      <c r="D208" s="250">
        <v>1229226</v>
      </c>
      <c r="E208" s="251">
        <v>655</v>
      </c>
      <c r="F208" s="251">
        <v>1478104</v>
      </c>
      <c r="G208" s="186" t="s">
        <v>631</v>
      </c>
    </row>
    <row r="209" spans="1:7">
      <c r="A209" s="234" t="s">
        <v>414</v>
      </c>
      <c r="B209" s="252">
        <v>39846</v>
      </c>
      <c r="C209" s="252">
        <v>5125</v>
      </c>
      <c r="D209" s="252">
        <v>34721</v>
      </c>
      <c r="E209" s="253">
        <v>0</v>
      </c>
      <c r="F209" s="253">
        <v>39846</v>
      </c>
      <c r="G209" s="186"/>
    </row>
    <row r="210" spans="1:7">
      <c r="A210" s="234" t="s">
        <v>140</v>
      </c>
      <c r="B210" s="252">
        <v>392953</v>
      </c>
      <c r="C210" s="252">
        <v>57244</v>
      </c>
      <c r="D210" s="252">
        <v>335709</v>
      </c>
      <c r="E210" s="253">
        <v>483</v>
      </c>
      <c r="F210" s="253">
        <v>392470</v>
      </c>
      <c r="G210" s="186" t="s">
        <v>631</v>
      </c>
    </row>
    <row r="211" spans="1:7">
      <c r="A211" s="234" t="s">
        <v>413</v>
      </c>
      <c r="B211" s="252">
        <v>26832</v>
      </c>
      <c r="C211" s="252">
        <v>2291</v>
      </c>
      <c r="D211" s="252">
        <v>24541</v>
      </c>
      <c r="E211" s="253">
        <v>0</v>
      </c>
      <c r="F211" s="253">
        <v>26832</v>
      </c>
      <c r="G211" s="186"/>
    </row>
    <row r="212" spans="1:7">
      <c r="A212" s="234" t="s">
        <v>627</v>
      </c>
      <c r="B212" s="252">
        <v>1019128</v>
      </c>
      <c r="C212" s="252">
        <v>184873</v>
      </c>
      <c r="D212" s="252">
        <v>834255</v>
      </c>
      <c r="E212" s="253">
        <v>172</v>
      </c>
      <c r="F212" s="253">
        <v>1018956</v>
      </c>
      <c r="G212" s="186"/>
    </row>
    <row r="213" spans="1:7">
      <c r="A213" s="238" t="s">
        <v>523</v>
      </c>
      <c r="B213" s="252" t="s">
        <v>523</v>
      </c>
      <c r="C213" s="252" t="s">
        <v>523</v>
      </c>
      <c r="D213" s="253" t="s">
        <v>523</v>
      </c>
      <c r="E213" s="253" t="s">
        <v>523</v>
      </c>
      <c r="F213" s="253" t="s">
        <v>523</v>
      </c>
      <c r="G213" s="186"/>
    </row>
    <row r="214" spans="1:7">
      <c r="A214" s="233" t="s">
        <v>28</v>
      </c>
      <c r="B214" s="250">
        <v>20001</v>
      </c>
      <c r="C214" s="250">
        <v>74</v>
      </c>
      <c r="D214" s="250">
        <v>19927</v>
      </c>
      <c r="E214" s="251">
        <v>1489</v>
      </c>
      <c r="F214" s="251">
        <v>18512</v>
      </c>
      <c r="G214" s="186"/>
    </row>
    <row r="215" spans="1:7">
      <c r="A215" s="234" t="s">
        <v>412</v>
      </c>
      <c r="B215" s="252">
        <v>2709</v>
      </c>
      <c r="C215" s="252">
        <v>-84</v>
      </c>
      <c r="D215" s="252">
        <v>2793</v>
      </c>
      <c r="E215" s="253">
        <v>0</v>
      </c>
      <c r="F215" s="253">
        <v>2709</v>
      </c>
      <c r="G215" s="186"/>
    </row>
    <row r="216" spans="1:7">
      <c r="A216" s="234" t="s">
        <v>411</v>
      </c>
      <c r="B216" s="252">
        <v>367</v>
      </c>
      <c r="C216" s="252">
        <v>3</v>
      </c>
      <c r="D216" s="252">
        <v>364</v>
      </c>
      <c r="E216" s="253">
        <v>0</v>
      </c>
      <c r="F216" s="253">
        <v>367</v>
      </c>
      <c r="G216" s="186"/>
    </row>
    <row r="217" spans="1:7">
      <c r="A217" s="234" t="s">
        <v>410</v>
      </c>
      <c r="B217" s="252">
        <v>182</v>
      </c>
      <c r="C217" s="252">
        <v>-29</v>
      </c>
      <c r="D217" s="252">
        <v>211</v>
      </c>
      <c r="E217" s="253">
        <v>0</v>
      </c>
      <c r="F217" s="253">
        <v>182</v>
      </c>
      <c r="G217" s="186"/>
    </row>
    <row r="218" spans="1:7">
      <c r="A218" s="234" t="s">
        <v>409</v>
      </c>
      <c r="B218" s="252">
        <v>541</v>
      </c>
      <c r="C218" s="252">
        <v>-57</v>
      </c>
      <c r="D218" s="252">
        <v>598</v>
      </c>
      <c r="E218" s="253">
        <v>0</v>
      </c>
      <c r="F218" s="253">
        <v>541</v>
      </c>
      <c r="G218" s="186"/>
    </row>
    <row r="219" spans="1:7">
      <c r="A219" s="234" t="s">
        <v>408</v>
      </c>
      <c r="B219" s="252">
        <v>355</v>
      </c>
      <c r="C219" s="252">
        <v>66</v>
      </c>
      <c r="D219" s="252">
        <v>289</v>
      </c>
      <c r="E219" s="253">
        <v>0</v>
      </c>
      <c r="F219" s="253">
        <v>355</v>
      </c>
      <c r="G219" s="186"/>
    </row>
    <row r="220" spans="1:7">
      <c r="A220" s="234" t="s">
        <v>627</v>
      </c>
      <c r="B220" s="252">
        <v>15847</v>
      </c>
      <c r="C220" s="252">
        <v>175</v>
      </c>
      <c r="D220" s="252">
        <v>15672</v>
      </c>
      <c r="E220" s="253">
        <v>1489</v>
      </c>
      <c r="F220" s="253">
        <v>14358</v>
      </c>
      <c r="G220" s="186"/>
    </row>
    <row r="221" spans="1:7">
      <c r="A221" s="235" t="s">
        <v>523</v>
      </c>
      <c r="B221" s="252" t="s">
        <v>523</v>
      </c>
      <c r="C221" s="252" t="s">
        <v>523</v>
      </c>
      <c r="D221" s="252" t="s">
        <v>523</v>
      </c>
      <c r="E221" s="253" t="s">
        <v>523</v>
      </c>
      <c r="F221" s="253" t="s">
        <v>523</v>
      </c>
      <c r="G221" s="186"/>
    </row>
    <row r="222" spans="1:7">
      <c r="A222" s="233" t="s">
        <v>29</v>
      </c>
      <c r="B222" s="250">
        <v>158834</v>
      </c>
      <c r="C222" s="250">
        <v>20806</v>
      </c>
      <c r="D222" s="250">
        <v>138028</v>
      </c>
      <c r="E222" s="251">
        <v>0</v>
      </c>
      <c r="F222" s="251">
        <v>158834</v>
      </c>
      <c r="G222" s="186"/>
    </row>
    <row r="223" spans="1:7">
      <c r="A223" s="234" t="s">
        <v>407</v>
      </c>
      <c r="B223" s="252">
        <v>5668</v>
      </c>
      <c r="C223" s="252">
        <v>471</v>
      </c>
      <c r="D223" s="252">
        <v>5197</v>
      </c>
      <c r="E223" s="253">
        <v>0</v>
      </c>
      <c r="F223" s="253">
        <v>5668</v>
      </c>
      <c r="G223" s="186"/>
    </row>
    <row r="224" spans="1:7">
      <c r="A224" s="234" t="s">
        <v>406</v>
      </c>
      <c r="B224" s="252">
        <v>4378</v>
      </c>
      <c r="C224" s="252">
        <v>477</v>
      </c>
      <c r="D224" s="252">
        <v>3901</v>
      </c>
      <c r="E224" s="253">
        <v>0</v>
      </c>
      <c r="F224" s="253">
        <v>4378</v>
      </c>
      <c r="G224" s="186"/>
    </row>
    <row r="225" spans="1:7">
      <c r="A225" s="234" t="s">
        <v>405</v>
      </c>
      <c r="B225" s="252">
        <v>428</v>
      </c>
      <c r="C225" s="252">
        <v>13</v>
      </c>
      <c r="D225" s="252">
        <v>415</v>
      </c>
      <c r="E225" s="253">
        <v>0</v>
      </c>
      <c r="F225" s="253">
        <v>428</v>
      </c>
      <c r="G225" s="186"/>
    </row>
    <row r="226" spans="1:7">
      <c r="A226" s="234" t="s">
        <v>404</v>
      </c>
      <c r="B226" s="252">
        <v>25658</v>
      </c>
      <c r="C226" s="252">
        <v>3729</v>
      </c>
      <c r="D226" s="252">
        <v>21929</v>
      </c>
      <c r="E226" s="253">
        <v>0</v>
      </c>
      <c r="F226" s="253">
        <v>25658</v>
      </c>
      <c r="G226" s="186"/>
    </row>
    <row r="227" spans="1:7">
      <c r="A227" s="246" t="s">
        <v>403</v>
      </c>
      <c r="B227" s="252">
        <v>16869</v>
      </c>
      <c r="C227" s="252">
        <v>1646</v>
      </c>
      <c r="D227" s="252">
        <v>15223</v>
      </c>
      <c r="E227" s="253">
        <v>0</v>
      </c>
      <c r="F227" s="253">
        <v>16869</v>
      </c>
      <c r="G227" s="186"/>
    </row>
    <row r="228" spans="1:7">
      <c r="A228" s="246" t="s">
        <v>627</v>
      </c>
      <c r="B228" s="252">
        <v>105833</v>
      </c>
      <c r="C228" s="252">
        <v>14470</v>
      </c>
      <c r="D228" s="252">
        <v>91363</v>
      </c>
      <c r="E228" s="253">
        <v>0</v>
      </c>
      <c r="F228" s="253">
        <v>105833</v>
      </c>
      <c r="G228" s="186"/>
    </row>
    <row r="229" spans="1:7">
      <c r="A229" s="235" t="s">
        <v>523</v>
      </c>
      <c r="B229" s="252" t="s">
        <v>523</v>
      </c>
      <c r="C229" s="252" t="s">
        <v>523</v>
      </c>
      <c r="D229" s="253" t="s">
        <v>523</v>
      </c>
      <c r="E229" s="253" t="s">
        <v>523</v>
      </c>
      <c r="F229" s="253" t="s">
        <v>523</v>
      </c>
      <c r="G229" s="186"/>
    </row>
    <row r="230" spans="1:7">
      <c r="A230" s="233" t="s">
        <v>30</v>
      </c>
      <c r="B230" s="250">
        <v>46587</v>
      </c>
      <c r="C230" s="250">
        <v>-3159</v>
      </c>
      <c r="D230" s="250">
        <v>49746</v>
      </c>
      <c r="E230" s="251">
        <v>5570</v>
      </c>
      <c r="F230" s="251">
        <v>41017</v>
      </c>
      <c r="G230" s="186" t="s">
        <v>631</v>
      </c>
    </row>
    <row r="231" spans="1:7">
      <c r="A231" s="234" t="s">
        <v>402</v>
      </c>
      <c r="B231" s="252">
        <v>490</v>
      </c>
      <c r="C231" s="252">
        <v>1</v>
      </c>
      <c r="D231" s="252">
        <v>489</v>
      </c>
      <c r="E231" s="253">
        <v>0</v>
      </c>
      <c r="F231" s="253">
        <v>490</v>
      </c>
      <c r="G231" s="186"/>
    </row>
    <row r="232" spans="1:7">
      <c r="A232" s="234" t="s">
        <v>401</v>
      </c>
      <c r="B232" s="252">
        <v>120</v>
      </c>
      <c r="C232" s="252">
        <v>-1</v>
      </c>
      <c r="D232" s="252">
        <v>121</v>
      </c>
      <c r="E232" s="253">
        <v>0</v>
      </c>
      <c r="F232" s="253">
        <v>120</v>
      </c>
      <c r="G232" s="186"/>
    </row>
    <row r="233" spans="1:7">
      <c r="A233" s="234" t="s">
        <v>400</v>
      </c>
      <c r="B233" s="252">
        <v>214</v>
      </c>
      <c r="C233" s="252">
        <v>-16</v>
      </c>
      <c r="D233" s="252">
        <v>230</v>
      </c>
      <c r="E233" s="253">
        <v>0</v>
      </c>
      <c r="F233" s="253">
        <v>214</v>
      </c>
      <c r="G233" s="186"/>
    </row>
    <row r="234" spans="1:7">
      <c r="A234" s="234" t="s">
        <v>399</v>
      </c>
      <c r="B234" s="252">
        <v>861</v>
      </c>
      <c r="C234" s="252">
        <v>-72</v>
      </c>
      <c r="D234" s="252">
        <v>933</v>
      </c>
      <c r="E234" s="253">
        <v>0</v>
      </c>
      <c r="F234" s="253">
        <v>861</v>
      </c>
      <c r="G234" s="186"/>
    </row>
    <row r="235" spans="1:7">
      <c r="A235" s="234" t="s">
        <v>398</v>
      </c>
      <c r="B235" s="252">
        <v>2224</v>
      </c>
      <c r="C235" s="252">
        <v>-54</v>
      </c>
      <c r="D235" s="252">
        <v>2278</v>
      </c>
      <c r="E235" s="253">
        <v>0</v>
      </c>
      <c r="F235" s="253">
        <v>2224</v>
      </c>
      <c r="G235" s="186"/>
    </row>
    <row r="236" spans="1:7">
      <c r="A236" s="234" t="s">
        <v>397</v>
      </c>
      <c r="B236" s="252">
        <v>835</v>
      </c>
      <c r="C236" s="252">
        <v>-57</v>
      </c>
      <c r="D236" s="252">
        <v>892</v>
      </c>
      <c r="E236" s="253">
        <v>0</v>
      </c>
      <c r="F236" s="253">
        <v>835</v>
      </c>
      <c r="G236" s="186"/>
    </row>
    <row r="237" spans="1:7">
      <c r="A237" s="234" t="s">
        <v>396</v>
      </c>
      <c r="B237" s="252">
        <v>677</v>
      </c>
      <c r="C237" s="252">
        <v>-9</v>
      </c>
      <c r="D237" s="252">
        <v>686</v>
      </c>
      <c r="E237" s="253">
        <v>0</v>
      </c>
      <c r="F237" s="253">
        <v>677</v>
      </c>
      <c r="G237" s="186"/>
    </row>
    <row r="238" spans="1:7">
      <c r="A238" s="234" t="s">
        <v>395</v>
      </c>
      <c r="B238" s="252">
        <v>274</v>
      </c>
      <c r="C238" s="252">
        <v>24</v>
      </c>
      <c r="D238" s="252">
        <v>250</v>
      </c>
      <c r="E238" s="253">
        <v>0</v>
      </c>
      <c r="F238" s="253">
        <v>274</v>
      </c>
      <c r="G238" s="186"/>
    </row>
    <row r="239" spans="1:7">
      <c r="A239" s="234" t="s">
        <v>394</v>
      </c>
      <c r="B239" s="252">
        <v>1777</v>
      </c>
      <c r="C239" s="252">
        <v>-311</v>
      </c>
      <c r="D239" s="252">
        <v>2088</v>
      </c>
      <c r="E239" s="253">
        <v>1347</v>
      </c>
      <c r="F239" s="253">
        <v>430</v>
      </c>
      <c r="G239" s="186"/>
    </row>
    <row r="240" spans="1:7">
      <c r="A240" s="234" t="s">
        <v>393</v>
      </c>
      <c r="B240" s="252">
        <v>6215</v>
      </c>
      <c r="C240" s="252">
        <v>113</v>
      </c>
      <c r="D240" s="252">
        <v>6102</v>
      </c>
      <c r="E240" s="253">
        <v>324</v>
      </c>
      <c r="F240" s="253">
        <v>5891</v>
      </c>
      <c r="G240" s="186" t="s">
        <v>631</v>
      </c>
    </row>
    <row r="241" spans="1:7">
      <c r="A241" s="234" t="s">
        <v>392</v>
      </c>
      <c r="B241" s="252">
        <v>1701</v>
      </c>
      <c r="C241" s="252">
        <v>-148</v>
      </c>
      <c r="D241" s="252">
        <v>1849</v>
      </c>
      <c r="E241" s="253">
        <v>0</v>
      </c>
      <c r="F241" s="253">
        <v>1701</v>
      </c>
      <c r="G241" s="186"/>
    </row>
    <row r="242" spans="1:7">
      <c r="A242" s="234" t="s">
        <v>627</v>
      </c>
      <c r="B242" s="252">
        <v>31199</v>
      </c>
      <c r="C242" s="252">
        <v>-2629</v>
      </c>
      <c r="D242" s="252">
        <v>33828</v>
      </c>
      <c r="E242" s="253">
        <v>3899</v>
      </c>
      <c r="F242" s="253">
        <v>27300</v>
      </c>
      <c r="G242" s="186"/>
    </row>
    <row r="243" spans="1:7">
      <c r="A243" s="238" t="s">
        <v>523</v>
      </c>
      <c r="B243" s="252" t="s">
        <v>523</v>
      </c>
      <c r="C243" s="252" t="s">
        <v>523</v>
      </c>
      <c r="D243" s="253" t="s">
        <v>523</v>
      </c>
      <c r="E243" s="253" t="s">
        <v>523</v>
      </c>
      <c r="F243" s="253" t="s">
        <v>523</v>
      </c>
      <c r="G243" s="186"/>
    </row>
    <row r="244" spans="1:7">
      <c r="A244" s="233" t="s">
        <v>31</v>
      </c>
      <c r="B244" s="250">
        <v>14394</v>
      </c>
      <c r="C244" s="250">
        <v>-367</v>
      </c>
      <c r="D244" s="250">
        <v>14761</v>
      </c>
      <c r="E244" s="251">
        <v>830</v>
      </c>
      <c r="F244" s="251">
        <v>13564</v>
      </c>
      <c r="G244" s="186"/>
    </row>
    <row r="245" spans="1:7">
      <c r="A245" s="234" t="s">
        <v>391</v>
      </c>
      <c r="B245" s="252">
        <v>2437</v>
      </c>
      <c r="C245" s="252">
        <v>-69</v>
      </c>
      <c r="D245" s="252">
        <v>2506</v>
      </c>
      <c r="E245" s="253">
        <v>0</v>
      </c>
      <c r="F245" s="253">
        <v>2437</v>
      </c>
      <c r="G245" s="186"/>
    </row>
    <row r="246" spans="1:7">
      <c r="A246" s="234" t="s">
        <v>627</v>
      </c>
      <c r="B246" s="252">
        <v>11957</v>
      </c>
      <c r="C246" s="252">
        <v>-298</v>
      </c>
      <c r="D246" s="252">
        <v>12255</v>
      </c>
      <c r="E246" s="253">
        <v>830</v>
      </c>
      <c r="F246" s="253">
        <v>11127</v>
      </c>
      <c r="G246" s="186"/>
    </row>
    <row r="247" spans="1:7">
      <c r="A247" s="238" t="s">
        <v>523</v>
      </c>
      <c r="B247" s="252" t="s">
        <v>523</v>
      </c>
      <c r="C247" s="252" t="s">
        <v>523</v>
      </c>
      <c r="D247" s="252" t="s">
        <v>523</v>
      </c>
      <c r="E247" s="253" t="s">
        <v>523</v>
      </c>
      <c r="F247" s="253" t="s">
        <v>523</v>
      </c>
      <c r="G247" s="186"/>
    </row>
    <row r="248" spans="1:7">
      <c r="A248" s="233" t="s">
        <v>32</v>
      </c>
      <c r="B248" s="250">
        <v>8690</v>
      </c>
      <c r="C248" s="250">
        <v>-180</v>
      </c>
      <c r="D248" s="250">
        <v>8870</v>
      </c>
      <c r="E248" s="251">
        <v>1397</v>
      </c>
      <c r="F248" s="251">
        <v>7293</v>
      </c>
      <c r="G248" s="186"/>
    </row>
    <row r="249" spans="1:7">
      <c r="A249" s="234" t="s">
        <v>390</v>
      </c>
      <c r="B249" s="252">
        <v>1217</v>
      </c>
      <c r="C249" s="252">
        <v>-20</v>
      </c>
      <c r="D249" s="252">
        <v>1237</v>
      </c>
      <c r="E249" s="253">
        <v>0</v>
      </c>
      <c r="F249" s="253">
        <v>1217</v>
      </c>
      <c r="G249" s="186"/>
    </row>
    <row r="250" spans="1:7">
      <c r="A250" s="234" t="s">
        <v>627</v>
      </c>
      <c r="B250" s="252">
        <v>7473</v>
      </c>
      <c r="C250" s="252">
        <v>-160</v>
      </c>
      <c r="D250" s="252">
        <v>7633</v>
      </c>
      <c r="E250" s="253">
        <v>1397</v>
      </c>
      <c r="F250" s="253">
        <v>6076</v>
      </c>
      <c r="G250" s="186"/>
    </row>
    <row r="251" spans="1:7">
      <c r="A251" s="237" t="s">
        <v>523</v>
      </c>
      <c r="B251" s="252" t="s">
        <v>523</v>
      </c>
      <c r="C251" s="252" t="s">
        <v>523</v>
      </c>
      <c r="D251" s="253" t="s">
        <v>523</v>
      </c>
      <c r="E251" s="253" t="s">
        <v>523</v>
      </c>
      <c r="F251" s="253" t="s">
        <v>523</v>
      </c>
      <c r="G251" s="186"/>
    </row>
    <row r="252" spans="1:7">
      <c r="A252" s="233" t="s">
        <v>33</v>
      </c>
      <c r="B252" s="250">
        <v>366742</v>
      </c>
      <c r="C252" s="250">
        <v>69695</v>
      </c>
      <c r="D252" s="250">
        <v>297047</v>
      </c>
      <c r="E252" s="251">
        <v>1034</v>
      </c>
      <c r="F252" s="251">
        <v>365708</v>
      </c>
      <c r="G252" s="186"/>
    </row>
    <row r="253" spans="1:7">
      <c r="A253" s="234" t="s">
        <v>389</v>
      </c>
      <c r="B253" s="252">
        <v>1921</v>
      </c>
      <c r="C253" s="252">
        <v>111</v>
      </c>
      <c r="D253" s="252">
        <v>1810</v>
      </c>
      <c r="E253" s="253">
        <v>0</v>
      </c>
      <c r="F253" s="253">
        <v>1921</v>
      </c>
      <c r="G253" s="186"/>
    </row>
    <row r="254" spans="1:7">
      <c r="A254" s="234" t="s">
        <v>388</v>
      </c>
      <c r="B254" s="252">
        <v>44301</v>
      </c>
      <c r="C254" s="252">
        <v>15559</v>
      </c>
      <c r="D254" s="252">
        <v>28742</v>
      </c>
      <c r="E254" s="253">
        <v>0</v>
      </c>
      <c r="F254" s="253">
        <v>44301</v>
      </c>
      <c r="G254" s="186"/>
    </row>
    <row r="255" spans="1:7">
      <c r="A255" s="234" t="s">
        <v>387</v>
      </c>
      <c r="B255" s="252">
        <v>21594</v>
      </c>
      <c r="C255" s="252">
        <v>3036</v>
      </c>
      <c r="D255" s="252">
        <v>18558</v>
      </c>
      <c r="E255" s="253">
        <v>0</v>
      </c>
      <c r="F255" s="253">
        <v>21594</v>
      </c>
      <c r="G255" s="186"/>
    </row>
    <row r="256" spans="1:7">
      <c r="A256" s="234" t="s">
        <v>386</v>
      </c>
      <c r="B256" s="252">
        <v>10206</v>
      </c>
      <c r="C256" s="252">
        <v>6128</v>
      </c>
      <c r="D256" s="252">
        <v>4078</v>
      </c>
      <c r="E256" s="253">
        <v>0</v>
      </c>
      <c r="F256" s="253">
        <v>10206</v>
      </c>
      <c r="G256" s="186"/>
    </row>
    <row r="257" spans="1:7">
      <c r="A257" s="234" t="s">
        <v>385</v>
      </c>
      <c r="B257" s="252">
        <v>20510</v>
      </c>
      <c r="C257" s="252">
        <v>11781</v>
      </c>
      <c r="D257" s="252">
        <v>8729</v>
      </c>
      <c r="E257" s="253">
        <v>0</v>
      </c>
      <c r="F257" s="253">
        <v>20510</v>
      </c>
      <c r="G257" s="186"/>
    </row>
    <row r="258" spans="1:7">
      <c r="A258" s="234" t="s">
        <v>384</v>
      </c>
      <c r="B258" s="252">
        <v>1702</v>
      </c>
      <c r="C258" s="252">
        <v>604</v>
      </c>
      <c r="D258" s="252">
        <v>1098</v>
      </c>
      <c r="E258" s="253">
        <v>0</v>
      </c>
      <c r="F258" s="253">
        <v>1702</v>
      </c>
      <c r="G258" s="186"/>
    </row>
    <row r="259" spans="1:7">
      <c r="A259" s="234" t="s">
        <v>383</v>
      </c>
      <c r="B259" s="252">
        <v>15754</v>
      </c>
      <c r="C259" s="252">
        <v>1828</v>
      </c>
      <c r="D259" s="252">
        <v>13926</v>
      </c>
      <c r="E259" s="253">
        <v>0</v>
      </c>
      <c r="F259" s="253">
        <v>15754</v>
      </c>
      <c r="G259" s="186"/>
    </row>
    <row r="260" spans="1:7">
      <c r="A260" s="234" t="s">
        <v>382</v>
      </c>
      <c r="B260" s="252">
        <v>24539</v>
      </c>
      <c r="C260" s="252">
        <v>4422</v>
      </c>
      <c r="D260" s="252">
        <v>20117</v>
      </c>
      <c r="E260" s="253">
        <v>0</v>
      </c>
      <c r="F260" s="253">
        <v>24539</v>
      </c>
      <c r="G260" s="186"/>
    </row>
    <row r="261" spans="1:7">
      <c r="A261" s="234" t="s">
        <v>381</v>
      </c>
      <c r="B261" s="252">
        <v>6447</v>
      </c>
      <c r="C261" s="252">
        <v>1346</v>
      </c>
      <c r="D261" s="252">
        <v>5101</v>
      </c>
      <c r="E261" s="253">
        <v>0</v>
      </c>
      <c r="F261" s="253">
        <v>6447</v>
      </c>
      <c r="G261" s="186"/>
    </row>
    <row r="262" spans="1:7">
      <c r="A262" s="234" t="s">
        <v>380</v>
      </c>
      <c r="B262" s="252">
        <v>13175</v>
      </c>
      <c r="C262" s="252">
        <v>3772</v>
      </c>
      <c r="D262" s="252">
        <v>9403</v>
      </c>
      <c r="E262" s="253">
        <v>0</v>
      </c>
      <c r="F262" s="253">
        <v>13175</v>
      </c>
      <c r="G262" s="186"/>
    </row>
    <row r="263" spans="1:7">
      <c r="A263" s="234" t="s">
        <v>379</v>
      </c>
      <c r="B263" s="252">
        <v>1901</v>
      </c>
      <c r="C263" s="252">
        <v>438</v>
      </c>
      <c r="D263" s="252">
        <v>1463</v>
      </c>
      <c r="E263" s="253">
        <v>0</v>
      </c>
      <c r="F263" s="253">
        <v>1901</v>
      </c>
      <c r="G263" s="186"/>
    </row>
    <row r="264" spans="1:7">
      <c r="A264" s="234" t="s">
        <v>378</v>
      </c>
      <c r="B264" s="252">
        <v>15200</v>
      </c>
      <c r="C264" s="252">
        <v>2830</v>
      </c>
      <c r="D264" s="252">
        <v>12370</v>
      </c>
      <c r="E264" s="253">
        <v>0</v>
      </c>
      <c r="F264" s="253">
        <v>15200</v>
      </c>
      <c r="G264" s="186"/>
    </row>
    <row r="265" spans="1:7">
      <c r="A265" s="234" t="s">
        <v>377</v>
      </c>
      <c r="B265" s="252">
        <v>17395</v>
      </c>
      <c r="C265" s="252">
        <v>3444</v>
      </c>
      <c r="D265" s="252">
        <v>13951</v>
      </c>
      <c r="E265" s="253">
        <v>0</v>
      </c>
      <c r="F265" s="253">
        <v>17395</v>
      </c>
      <c r="G265" s="186"/>
    </row>
    <row r="266" spans="1:7">
      <c r="A266" s="234" t="s">
        <v>376</v>
      </c>
      <c r="B266" s="252">
        <v>4196</v>
      </c>
      <c r="C266" s="252">
        <v>740</v>
      </c>
      <c r="D266" s="252">
        <v>3456</v>
      </c>
      <c r="E266" s="253">
        <v>0</v>
      </c>
      <c r="F266" s="253">
        <v>4196</v>
      </c>
      <c r="G266" s="186"/>
    </row>
    <row r="267" spans="1:7">
      <c r="A267" s="246" t="s">
        <v>627</v>
      </c>
      <c r="B267" s="252">
        <v>167901</v>
      </c>
      <c r="C267" s="252">
        <v>13656</v>
      </c>
      <c r="D267" s="252">
        <v>154245</v>
      </c>
      <c r="E267" s="253">
        <v>1034</v>
      </c>
      <c r="F267" s="253">
        <v>166867</v>
      </c>
      <c r="G267" s="186"/>
    </row>
    <row r="268" spans="1:7">
      <c r="A268" s="235" t="s">
        <v>523</v>
      </c>
      <c r="B268" s="252" t="s">
        <v>523</v>
      </c>
      <c r="C268" s="252" t="s">
        <v>523</v>
      </c>
      <c r="D268" s="253" t="s">
        <v>523</v>
      </c>
      <c r="E268" s="253" t="s">
        <v>523</v>
      </c>
      <c r="F268" s="253" t="s">
        <v>523</v>
      </c>
      <c r="G268" s="186"/>
    </row>
    <row r="269" spans="1:7">
      <c r="A269" s="233" t="s">
        <v>34</v>
      </c>
      <c r="B269" s="250">
        <v>750493</v>
      </c>
      <c r="C269" s="250">
        <v>131739</v>
      </c>
      <c r="D269" s="250">
        <v>618754</v>
      </c>
      <c r="E269" s="251">
        <v>221</v>
      </c>
      <c r="F269" s="251">
        <v>750272</v>
      </c>
      <c r="G269" s="186"/>
    </row>
    <row r="270" spans="1:7">
      <c r="A270" s="246" t="s">
        <v>375</v>
      </c>
      <c r="B270" s="252">
        <v>55645</v>
      </c>
      <c r="C270" s="252">
        <v>11788</v>
      </c>
      <c r="D270" s="252">
        <v>43857</v>
      </c>
      <c r="E270" s="253">
        <v>6</v>
      </c>
      <c r="F270" s="253">
        <v>55639</v>
      </c>
      <c r="G270" s="186"/>
    </row>
    <row r="271" spans="1:7">
      <c r="A271" s="234" t="s">
        <v>35</v>
      </c>
      <c r="B271" s="252">
        <v>187307</v>
      </c>
      <c r="C271" s="252">
        <v>33002</v>
      </c>
      <c r="D271" s="252">
        <v>154305</v>
      </c>
      <c r="E271" s="253">
        <v>28</v>
      </c>
      <c r="F271" s="253">
        <v>187279</v>
      </c>
      <c r="G271" s="186"/>
    </row>
    <row r="272" spans="1:7">
      <c r="A272" s="246" t="s">
        <v>632</v>
      </c>
      <c r="B272" s="252">
        <v>33120</v>
      </c>
      <c r="C272" s="252">
        <v>33120</v>
      </c>
      <c r="D272" s="252">
        <v>0</v>
      </c>
      <c r="E272" s="253">
        <v>0</v>
      </c>
      <c r="F272" s="253">
        <v>33120</v>
      </c>
      <c r="G272" s="186"/>
    </row>
    <row r="273" spans="1:7">
      <c r="A273" s="234" t="s">
        <v>603</v>
      </c>
      <c r="B273" s="252">
        <v>92599</v>
      </c>
      <c r="C273" s="252">
        <v>30301</v>
      </c>
      <c r="D273" s="252">
        <v>62298</v>
      </c>
      <c r="E273" s="253">
        <v>15</v>
      </c>
      <c r="F273" s="253">
        <v>92584</v>
      </c>
      <c r="G273" s="186"/>
    </row>
    <row r="274" spans="1:7">
      <c r="A274" s="234" t="s">
        <v>604</v>
      </c>
      <c r="B274" s="252">
        <v>6558</v>
      </c>
      <c r="C274" s="252">
        <v>281</v>
      </c>
      <c r="D274" s="252">
        <v>6277</v>
      </c>
      <c r="E274" s="253">
        <v>0</v>
      </c>
      <c r="F274" s="253">
        <v>6558</v>
      </c>
      <c r="G274" s="186"/>
    </row>
    <row r="275" spans="1:7">
      <c r="A275" s="234" t="s">
        <v>374</v>
      </c>
      <c r="B275" s="252">
        <v>6849</v>
      </c>
      <c r="C275" s="252">
        <v>380</v>
      </c>
      <c r="D275" s="252">
        <v>6469</v>
      </c>
      <c r="E275" s="253">
        <v>0</v>
      </c>
      <c r="F275" s="253">
        <v>6849</v>
      </c>
      <c r="G275" s="186"/>
    </row>
    <row r="276" spans="1:7">
      <c r="A276" s="246" t="s">
        <v>627</v>
      </c>
      <c r="B276" s="252">
        <v>368415</v>
      </c>
      <c r="C276" s="252">
        <v>22867</v>
      </c>
      <c r="D276" s="252">
        <v>345548</v>
      </c>
      <c r="E276" s="253">
        <v>172</v>
      </c>
      <c r="F276" s="253">
        <v>368243</v>
      </c>
      <c r="G276" s="186"/>
    </row>
    <row r="277" spans="1:7">
      <c r="A277" s="234" t="s">
        <v>523</v>
      </c>
      <c r="B277" s="252" t="s">
        <v>523</v>
      </c>
      <c r="C277" s="252" t="s">
        <v>523</v>
      </c>
      <c r="D277" s="253" t="s">
        <v>523</v>
      </c>
      <c r="E277" s="253" t="s">
        <v>523</v>
      </c>
      <c r="F277" s="253" t="s">
        <v>523</v>
      </c>
      <c r="G277" s="186"/>
    </row>
    <row r="278" spans="1:7">
      <c r="A278" s="233" t="s">
        <v>36</v>
      </c>
      <c r="B278" s="250">
        <v>299484</v>
      </c>
      <c r="C278" s="250">
        <v>23997</v>
      </c>
      <c r="D278" s="250">
        <v>275487</v>
      </c>
      <c r="E278" s="251">
        <v>1210</v>
      </c>
      <c r="F278" s="251">
        <v>298274</v>
      </c>
      <c r="G278" s="186"/>
    </row>
    <row r="279" spans="1:7">
      <c r="A279" s="234" t="s">
        <v>37</v>
      </c>
      <c r="B279" s="252">
        <v>198627</v>
      </c>
      <c r="C279" s="252">
        <v>17251</v>
      </c>
      <c r="D279" s="252">
        <v>181376</v>
      </c>
      <c r="E279" s="253">
        <v>1210</v>
      </c>
      <c r="F279" s="253">
        <v>197417</v>
      </c>
      <c r="G279" s="186"/>
    </row>
    <row r="280" spans="1:7">
      <c r="A280" s="234" t="s">
        <v>627</v>
      </c>
      <c r="B280" s="252">
        <v>100857</v>
      </c>
      <c r="C280" s="252">
        <v>6746</v>
      </c>
      <c r="D280" s="252">
        <v>94111</v>
      </c>
      <c r="E280" s="253">
        <v>0</v>
      </c>
      <c r="F280" s="253">
        <v>100857</v>
      </c>
      <c r="G280" s="186"/>
    </row>
    <row r="281" spans="1:7">
      <c r="A281" s="238" t="s">
        <v>523</v>
      </c>
      <c r="B281" s="252" t="s">
        <v>523</v>
      </c>
      <c r="C281" s="252" t="s">
        <v>523</v>
      </c>
      <c r="D281" s="253" t="s">
        <v>523</v>
      </c>
      <c r="E281" s="253" t="s">
        <v>523</v>
      </c>
      <c r="F281" s="253" t="s">
        <v>523</v>
      </c>
      <c r="G281" s="186"/>
    </row>
    <row r="282" spans="1:7">
      <c r="A282" s="233" t="s">
        <v>38</v>
      </c>
      <c r="B282" s="250">
        <v>41699</v>
      </c>
      <c r="C282" s="250">
        <v>898</v>
      </c>
      <c r="D282" s="250">
        <v>40801</v>
      </c>
      <c r="E282" s="251">
        <v>0</v>
      </c>
      <c r="F282" s="251">
        <v>41699</v>
      </c>
      <c r="G282" s="186"/>
    </row>
    <row r="283" spans="1:7">
      <c r="A283" s="234" t="s">
        <v>373</v>
      </c>
      <c r="B283" s="252">
        <v>1181</v>
      </c>
      <c r="C283" s="252">
        <v>68</v>
      </c>
      <c r="D283" s="252">
        <v>1113</v>
      </c>
      <c r="E283" s="253">
        <v>0</v>
      </c>
      <c r="F283" s="253">
        <v>1181</v>
      </c>
      <c r="G283" s="186"/>
    </row>
    <row r="284" spans="1:7">
      <c r="A284" s="234" t="s">
        <v>372</v>
      </c>
      <c r="B284" s="252">
        <v>726</v>
      </c>
      <c r="C284" s="252">
        <v>24</v>
      </c>
      <c r="D284" s="252">
        <v>702</v>
      </c>
      <c r="E284" s="253">
        <v>0</v>
      </c>
      <c r="F284" s="253">
        <v>726</v>
      </c>
      <c r="G284" s="186"/>
    </row>
    <row r="285" spans="1:7">
      <c r="A285" s="234" t="s">
        <v>371</v>
      </c>
      <c r="B285" s="252">
        <v>2217</v>
      </c>
      <c r="C285" s="252">
        <v>-28</v>
      </c>
      <c r="D285" s="252">
        <v>2245</v>
      </c>
      <c r="E285" s="253">
        <v>0</v>
      </c>
      <c r="F285" s="253">
        <v>2217</v>
      </c>
      <c r="G285" s="186"/>
    </row>
    <row r="286" spans="1:7">
      <c r="A286" s="234" t="s">
        <v>370</v>
      </c>
      <c r="B286" s="252">
        <v>517</v>
      </c>
      <c r="C286" s="252">
        <v>31</v>
      </c>
      <c r="D286" s="252">
        <v>486</v>
      </c>
      <c r="E286" s="253">
        <v>0</v>
      </c>
      <c r="F286" s="253">
        <v>517</v>
      </c>
      <c r="G286" s="186"/>
    </row>
    <row r="287" spans="1:7">
      <c r="A287" s="234" t="s">
        <v>369</v>
      </c>
      <c r="B287" s="252">
        <v>1305</v>
      </c>
      <c r="C287" s="252">
        <v>-20</v>
      </c>
      <c r="D287" s="252">
        <v>1325</v>
      </c>
      <c r="E287" s="253">
        <v>0</v>
      </c>
      <c r="F287" s="253">
        <v>1305</v>
      </c>
      <c r="G287" s="186"/>
    </row>
    <row r="288" spans="1:7">
      <c r="A288" s="234" t="s">
        <v>368</v>
      </c>
      <c r="B288" s="252">
        <v>118</v>
      </c>
      <c r="C288" s="252">
        <v>-16</v>
      </c>
      <c r="D288" s="252">
        <v>134</v>
      </c>
      <c r="E288" s="253">
        <v>0</v>
      </c>
      <c r="F288" s="253">
        <v>118</v>
      </c>
      <c r="G288" s="186"/>
    </row>
    <row r="289" spans="1:7">
      <c r="A289" s="234" t="s">
        <v>367</v>
      </c>
      <c r="B289" s="252">
        <v>2906</v>
      </c>
      <c r="C289" s="252">
        <v>138</v>
      </c>
      <c r="D289" s="252">
        <v>2768</v>
      </c>
      <c r="E289" s="253">
        <v>0</v>
      </c>
      <c r="F289" s="253">
        <v>2906</v>
      </c>
      <c r="G289" s="186"/>
    </row>
    <row r="290" spans="1:7">
      <c r="A290" s="234" t="s">
        <v>366</v>
      </c>
      <c r="B290" s="252">
        <v>509</v>
      </c>
      <c r="C290" s="252">
        <v>7</v>
      </c>
      <c r="D290" s="252">
        <v>502</v>
      </c>
      <c r="E290" s="253">
        <v>0</v>
      </c>
      <c r="F290" s="253">
        <v>509</v>
      </c>
      <c r="G290" s="186"/>
    </row>
    <row r="291" spans="1:7">
      <c r="A291" s="234" t="s">
        <v>627</v>
      </c>
      <c r="B291" s="252">
        <v>32220</v>
      </c>
      <c r="C291" s="252">
        <v>694</v>
      </c>
      <c r="D291" s="252">
        <v>31526</v>
      </c>
      <c r="E291" s="253">
        <v>0</v>
      </c>
      <c r="F291" s="253">
        <v>32220</v>
      </c>
      <c r="G291" s="186"/>
    </row>
    <row r="292" spans="1:7">
      <c r="A292" s="238" t="s">
        <v>523</v>
      </c>
      <c r="B292" s="252" t="s">
        <v>523</v>
      </c>
      <c r="C292" s="252" t="s">
        <v>523</v>
      </c>
      <c r="D292" s="253" t="s">
        <v>523</v>
      </c>
      <c r="E292" s="253" t="s">
        <v>523</v>
      </c>
      <c r="F292" s="253" t="s">
        <v>523</v>
      </c>
      <c r="G292" s="186"/>
    </row>
    <row r="293" spans="1:7">
      <c r="A293" s="233" t="s">
        <v>39</v>
      </c>
      <c r="B293" s="250">
        <v>8575</v>
      </c>
      <c r="C293" s="250">
        <v>210</v>
      </c>
      <c r="D293" s="250">
        <v>8365</v>
      </c>
      <c r="E293" s="251">
        <v>1749</v>
      </c>
      <c r="F293" s="251">
        <v>6826</v>
      </c>
      <c r="G293" s="186"/>
    </row>
    <row r="294" spans="1:7">
      <c r="A294" s="234" t="s">
        <v>365</v>
      </c>
      <c r="B294" s="252">
        <v>912</v>
      </c>
      <c r="C294" s="252">
        <v>-84</v>
      </c>
      <c r="D294" s="252">
        <v>996</v>
      </c>
      <c r="E294" s="253">
        <v>0</v>
      </c>
      <c r="F294" s="253">
        <v>912</v>
      </c>
      <c r="G294" s="186"/>
    </row>
    <row r="295" spans="1:7">
      <c r="A295" s="234" t="s">
        <v>627</v>
      </c>
      <c r="B295" s="252">
        <v>7663</v>
      </c>
      <c r="C295" s="252">
        <v>294</v>
      </c>
      <c r="D295" s="252">
        <v>7369</v>
      </c>
      <c r="E295" s="253">
        <v>1749</v>
      </c>
      <c r="F295" s="253">
        <v>5914</v>
      </c>
      <c r="G295" s="186"/>
    </row>
    <row r="296" spans="1:7">
      <c r="A296" s="237" t="s">
        <v>523</v>
      </c>
      <c r="B296" s="252" t="s">
        <v>523</v>
      </c>
      <c r="C296" s="252" t="s">
        <v>523</v>
      </c>
      <c r="D296" s="253" t="s">
        <v>523</v>
      </c>
      <c r="E296" s="253" t="s">
        <v>523</v>
      </c>
      <c r="F296" s="253" t="s">
        <v>523</v>
      </c>
      <c r="G296" s="186"/>
    </row>
    <row r="297" spans="1:7">
      <c r="A297" s="233" t="s">
        <v>40</v>
      </c>
      <c r="B297" s="250">
        <v>18954</v>
      </c>
      <c r="C297" s="250">
        <v>-270</v>
      </c>
      <c r="D297" s="250">
        <v>19224</v>
      </c>
      <c r="E297" s="251">
        <v>1334</v>
      </c>
      <c r="F297" s="251">
        <v>17620</v>
      </c>
      <c r="G297" s="186"/>
    </row>
    <row r="298" spans="1:7">
      <c r="A298" s="234" t="s">
        <v>364</v>
      </c>
      <c r="B298" s="252">
        <v>756</v>
      </c>
      <c r="C298" s="252">
        <v>-87</v>
      </c>
      <c r="D298" s="252">
        <v>843</v>
      </c>
      <c r="E298" s="253">
        <v>21</v>
      </c>
      <c r="F298" s="253">
        <v>735</v>
      </c>
      <c r="G298" s="186"/>
    </row>
    <row r="299" spans="1:7">
      <c r="A299" s="234" t="s">
        <v>156</v>
      </c>
      <c r="B299" s="252">
        <v>335</v>
      </c>
      <c r="C299" s="252">
        <v>-17</v>
      </c>
      <c r="D299" s="252">
        <v>352</v>
      </c>
      <c r="E299" s="253">
        <v>0</v>
      </c>
      <c r="F299" s="253">
        <v>335</v>
      </c>
      <c r="G299" s="186"/>
    </row>
    <row r="300" spans="1:7">
      <c r="A300" s="246" t="s">
        <v>516</v>
      </c>
      <c r="B300" s="252">
        <v>2899</v>
      </c>
      <c r="C300" s="252">
        <v>-150</v>
      </c>
      <c r="D300" s="252">
        <v>3049</v>
      </c>
      <c r="E300" s="253">
        <v>0</v>
      </c>
      <c r="F300" s="253">
        <v>2899</v>
      </c>
      <c r="G300" s="186"/>
    </row>
    <row r="301" spans="1:7">
      <c r="A301" s="246" t="s">
        <v>627</v>
      </c>
      <c r="B301" s="252">
        <v>14964</v>
      </c>
      <c r="C301" s="252">
        <v>-16</v>
      </c>
      <c r="D301" s="252">
        <v>14980</v>
      </c>
      <c r="E301" s="253">
        <v>1313</v>
      </c>
      <c r="F301" s="253">
        <v>13651</v>
      </c>
      <c r="G301" s="186"/>
    </row>
    <row r="302" spans="1:7">
      <c r="A302" s="238" t="s">
        <v>523</v>
      </c>
      <c r="B302" s="252" t="s">
        <v>523</v>
      </c>
      <c r="C302" s="252" t="s">
        <v>523</v>
      </c>
      <c r="D302" s="253" t="s">
        <v>523</v>
      </c>
      <c r="E302" s="253" t="s">
        <v>523</v>
      </c>
      <c r="F302" s="253" t="s">
        <v>523</v>
      </c>
      <c r="G302" s="186"/>
    </row>
    <row r="303" spans="1:7">
      <c r="A303" s="233" t="s">
        <v>41</v>
      </c>
      <c r="B303" s="250">
        <v>398503</v>
      </c>
      <c r="C303" s="250">
        <v>75670</v>
      </c>
      <c r="D303" s="250">
        <v>322833</v>
      </c>
      <c r="E303" s="251">
        <v>136</v>
      </c>
      <c r="F303" s="251">
        <v>398367</v>
      </c>
      <c r="G303" s="186"/>
    </row>
    <row r="304" spans="1:7">
      <c r="A304" s="234" t="s">
        <v>363</v>
      </c>
      <c r="B304" s="252">
        <v>1617</v>
      </c>
      <c r="C304" s="252">
        <v>114</v>
      </c>
      <c r="D304" s="252">
        <v>1503</v>
      </c>
      <c r="E304" s="253">
        <v>0</v>
      </c>
      <c r="F304" s="253">
        <v>1617</v>
      </c>
      <c r="G304" s="186"/>
    </row>
    <row r="305" spans="1:7">
      <c r="A305" s="234" t="s">
        <v>42</v>
      </c>
      <c r="B305" s="252">
        <v>58621</v>
      </c>
      <c r="C305" s="252">
        <v>9075</v>
      </c>
      <c r="D305" s="252">
        <v>49546</v>
      </c>
      <c r="E305" s="253">
        <v>37</v>
      </c>
      <c r="F305" s="253">
        <v>58584</v>
      </c>
      <c r="G305" s="186"/>
    </row>
    <row r="306" spans="1:7">
      <c r="A306" s="234" t="s">
        <v>362</v>
      </c>
      <c r="B306" s="252">
        <v>1188</v>
      </c>
      <c r="C306" s="252">
        <v>17</v>
      </c>
      <c r="D306" s="252">
        <v>1171</v>
      </c>
      <c r="E306" s="253">
        <v>0</v>
      </c>
      <c r="F306" s="253">
        <v>1188</v>
      </c>
      <c r="G306" s="186"/>
    </row>
    <row r="307" spans="1:7">
      <c r="A307" s="234" t="s">
        <v>361</v>
      </c>
      <c r="B307" s="252">
        <v>3913</v>
      </c>
      <c r="C307" s="252">
        <v>77</v>
      </c>
      <c r="D307" s="252">
        <v>3836</v>
      </c>
      <c r="E307" s="253">
        <v>0</v>
      </c>
      <c r="F307" s="253">
        <v>3913</v>
      </c>
      <c r="G307" s="186"/>
    </row>
    <row r="308" spans="1:7">
      <c r="A308" s="234" t="s">
        <v>210</v>
      </c>
      <c r="B308" s="252">
        <v>2481</v>
      </c>
      <c r="C308" s="252">
        <v>83</v>
      </c>
      <c r="D308" s="252">
        <v>2398</v>
      </c>
      <c r="E308" s="253">
        <v>0</v>
      </c>
      <c r="F308" s="253">
        <v>2481</v>
      </c>
      <c r="G308" s="186"/>
    </row>
    <row r="309" spans="1:7">
      <c r="A309" s="234" t="s">
        <v>360</v>
      </c>
      <c r="B309" s="252">
        <v>13661</v>
      </c>
      <c r="C309" s="252">
        <v>1055</v>
      </c>
      <c r="D309" s="252">
        <v>12606</v>
      </c>
      <c r="E309" s="253">
        <v>0</v>
      </c>
      <c r="F309" s="253">
        <v>13661</v>
      </c>
      <c r="G309" s="186"/>
    </row>
    <row r="310" spans="1:7">
      <c r="A310" s="234" t="s">
        <v>627</v>
      </c>
      <c r="B310" s="252">
        <v>317022</v>
      </c>
      <c r="C310" s="252">
        <v>65249</v>
      </c>
      <c r="D310" s="252">
        <v>251773</v>
      </c>
      <c r="E310" s="253">
        <v>99</v>
      </c>
      <c r="F310" s="253">
        <v>316923</v>
      </c>
      <c r="G310" s="186"/>
    </row>
    <row r="311" spans="1:7">
      <c r="A311" s="235" t="s">
        <v>523</v>
      </c>
      <c r="B311" s="252" t="s">
        <v>523</v>
      </c>
      <c r="C311" s="252" t="s">
        <v>523</v>
      </c>
      <c r="D311" s="253" t="s">
        <v>523</v>
      </c>
      <c r="E311" s="253" t="s">
        <v>523</v>
      </c>
      <c r="F311" s="253" t="s">
        <v>523</v>
      </c>
      <c r="G311" s="186"/>
    </row>
    <row r="312" spans="1:7">
      <c r="A312" s="233" t="s">
        <v>43</v>
      </c>
      <c r="B312" s="250">
        <v>368135</v>
      </c>
      <c r="C312" s="250">
        <v>36832</v>
      </c>
      <c r="D312" s="250">
        <v>331303</v>
      </c>
      <c r="E312" s="251">
        <v>5323</v>
      </c>
      <c r="F312" s="251">
        <v>362812</v>
      </c>
      <c r="G312" s="186"/>
    </row>
    <row r="313" spans="1:7">
      <c r="A313" s="234" t="s">
        <v>359</v>
      </c>
      <c r="B313" s="252">
        <v>5330</v>
      </c>
      <c r="C313" s="252">
        <v>838</v>
      </c>
      <c r="D313" s="252">
        <v>4492</v>
      </c>
      <c r="E313" s="253">
        <v>5</v>
      </c>
      <c r="F313" s="253">
        <v>5325</v>
      </c>
      <c r="G313" s="186"/>
    </row>
    <row r="314" spans="1:7">
      <c r="A314" s="234" t="s">
        <v>358</v>
      </c>
      <c r="B314" s="252">
        <v>1864</v>
      </c>
      <c r="C314" s="252">
        <v>131</v>
      </c>
      <c r="D314" s="252">
        <v>1733</v>
      </c>
      <c r="E314" s="253">
        <v>0</v>
      </c>
      <c r="F314" s="253">
        <v>1864</v>
      </c>
      <c r="G314" s="186"/>
    </row>
    <row r="315" spans="1:7">
      <c r="A315" s="234" t="s">
        <v>357</v>
      </c>
      <c r="B315" s="252">
        <v>486</v>
      </c>
      <c r="C315" s="252">
        <v>34</v>
      </c>
      <c r="D315" s="252">
        <v>452</v>
      </c>
      <c r="E315" s="253">
        <v>0</v>
      </c>
      <c r="F315" s="253">
        <v>486</v>
      </c>
      <c r="G315" s="186"/>
    </row>
    <row r="316" spans="1:7">
      <c r="A316" s="234" t="s">
        <v>44</v>
      </c>
      <c r="B316" s="252">
        <v>62023</v>
      </c>
      <c r="C316" s="252">
        <v>5708</v>
      </c>
      <c r="D316" s="252">
        <v>56315</v>
      </c>
      <c r="E316" s="253">
        <v>216</v>
      </c>
      <c r="F316" s="253">
        <v>61807</v>
      </c>
      <c r="G316" s="186"/>
    </row>
    <row r="317" spans="1:7">
      <c r="A317" s="234" t="s">
        <v>356</v>
      </c>
      <c r="B317" s="252">
        <v>577</v>
      </c>
      <c r="C317" s="252">
        <v>71</v>
      </c>
      <c r="D317" s="252">
        <v>506</v>
      </c>
      <c r="E317" s="253">
        <v>0</v>
      </c>
      <c r="F317" s="253">
        <v>577</v>
      </c>
      <c r="G317" s="186"/>
    </row>
    <row r="318" spans="1:7">
      <c r="A318" s="246" t="s">
        <v>627</v>
      </c>
      <c r="B318" s="252">
        <v>297855</v>
      </c>
      <c r="C318" s="252">
        <v>30050</v>
      </c>
      <c r="D318" s="252">
        <v>267805</v>
      </c>
      <c r="E318" s="253">
        <v>5102</v>
      </c>
      <c r="F318" s="253">
        <v>292753</v>
      </c>
      <c r="G318" s="186"/>
    </row>
    <row r="319" spans="1:7">
      <c r="A319" s="235" t="s">
        <v>523</v>
      </c>
      <c r="B319" s="252" t="s">
        <v>523</v>
      </c>
      <c r="C319" s="252" t="s">
        <v>523</v>
      </c>
      <c r="D319" s="253" t="s">
        <v>523</v>
      </c>
      <c r="E319" s="253" t="s">
        <v>523</v>
      </c>
      <c r="F319" s="253" t="s">
        <v>523</v>
      </c>
      <c r="G319" s="186"/>
    </row>
    <row r="320" spans="1:7">
      <c r="A320" s="233" t="s">
        <v>45</v>
      </c>
      <c r="B320" s="250">
        <v>161301</v>
      </c>
      <c r="C320" s="250">
        <v>14983</v>
      </c>
      <c r="D320" s="250">
        <v>146318</v>
      </c>
      <c r="E320" s="251">
        <v>2060</v>
      </c>
      <c r="F320" s="251">
        <v>159241</v>
      </c>
      <c r="G320" s="186"/>
    </row>
    <row r="321" spans="1:7">
      <c r="A321" s="246" t="s">
        <v>633</v>
      </c>
      <c r="B321" s="252">
        <v>6822</v>
      </c>
      <c r="C321" s="252">
        <v>6822</v>
      </c>
      <c r="D321" s="252">
        <v>0</v>
      </c>
      <c r="E321" s="253">
        <v>0</v>
      </c>
      <c r="F321" s="253">
        <v>6822</v>
      </c>
      <c r="G321" s="186"/>
    </row>
    <row r="322" spans="1:7">
      <c r="A322" s="234" t="s">
        <v>355</v>
      </c>
      <c r="B322" s="252">
        <v>847</v>
      </c>
      <c r="C322" s="252">
        <v>30</v>
      </c>
      <c r="D322" s="252">
        <v>817</v>
      </c>
      <c r="E322" s="253">
        <v>0</v>
      </c>
      <c r="F322" s="253">
        <v>847</v>
      </c>
      <c r="G322" s="186"/>
    </row>
    <row r="323" spans="1:7">
      <c r="A323" s="234" t="s">
        <v>517</v>
      </c>
      <c r="B323" s="252">
        <v>428</v>
      </c>
      <c r="C323" s="252">
        <v>73</v>
      </c>
      <c r="D323" s="252">
        <v>355</v>
      </c>
      <c r="E323" s="253">
        <v>0</v>
      </c>
      <c r="F323" s="253">
        <v>428</v>
      </c>
      <c r="G323" s="186"/>
    </row>
    <row r="324" spans="1:7">
      <c r="A324" s="234" t="s">
        <v>354</v>
      </c>
      <c r="B324" s="252">
        <v>2127</v>
      </c>
      <c r="C324" s="252">
        <v>131</v>
      </c>
      <c r="D324" s="252">
        <v>1996</v>
      </c>
      <c r="E324" s="253">
        <v>0</v>
      </c>
      <c r="F324" s="253">
        <v>2127</v>
      </c>
      <c r="G324" s="186"/>
    </row>
    <row r="325" spans="1:7">
      <c r="A325" s="234" t="s">
        <v>353</v>
      </c>
      <c r="B325" s="252">
        <v>16793</v>
      </c>
      <c r="C325" s="252">
        <v>1200</v>
      </c>
      <c r="D325" s="252">
        <v>15593</v>
      </c>
      <c r="E325" s="253">
        <v>24</v>
      </c>
      <c r="F325" s="253">
        <v>16769</v>
      </c>
      <c r="G325" s="186"/>
    </row>
    <row r="326" spans="1:7">
      <c r="A326" s="234" t="s">
        <v>627</v>
      </c>
      <c r="B326" s="252">
        <v>134284</v>
      </c>
      <c r="C326" s="252">
        <v>6727</v>
      </c>
      <c r="D326" s="252">
        <v>127557</v>
      </c>
      <c r="E326" s="253">
        <v>2036</v>
      </c>
      <c r="F326" s="253">
        <v>132248</v>
      </c>
      <c r="G326" s="186"/>
    </row>
    <row r="327" spans="1:7">
      <c r="A327" s="235" t="s">
        <v>523</v>
      </c>
      <c r="B327" s="252" t="s">
        <v>523</v>
      </c>
      <c r="C327" s="252" t="s">
        <v>523</v>
      </c>
      <c r="D327" s="253" t="s">
        <v>523</v>
      </c>
      <c r="E327" s="253" t="s">
        <v>523</v>
      </c>
      <c r="F327" s="253" t="s">
        <v>523</v>
      </c>
      <c r="G327" s="186"/>
    </row>
    <row r="328" spans="1:7">
      <c r="A328" s="233" t="s">
        <v>46</v>
      </c>
      <c r="B328" s="250">
        <v>2832794</v>
      </c>
      <c r="C328" s="250">
        <v>336337</v>
      </c>
      <c r="D328" s="250">
        <v>2496457</v>
      </c>
      <c r="E328" s="251">
        <v>9491</v>
      </c>
      <c r="F328" s="251">
        <v>2823303</v>
      </c>
      <c r="G328" s="186" t="s">
        <v>631</v>
      </c>
    </row>
    <row r="329" spans="1:7">
      <c r="A329" s="234" t="s">
        <v>352</v>
      </c>
      <c r="B329" s="252">
        <v>38041</v>
      </c>
      <c r="C329" s="252">
        <v>2279</v>
      </c>
      <c r="D329" s="252">
        <v>35762</v>
      </c>
      <c r="E329" s="253">
        <v>0</v>
      </c>
      <c r="F329" s="253">
        <v>38041</v>
      </c>
      <c r="G329" s="186"/>
    </row>
    <row r="330" spans="1:7">
      <c r="A330" s="234" t="s">
        <v>351</v>
      </c>
      <c r="B330" s="252">
        <v>2932</v>
      </c>
      <c r="C330" s="252">
        <v>419</v>
      </c>
      <c r="D330" s="252">
        <v>2513</v>
      </c>
      <c r="E330" s="253">
        <v>0</v>
      </c>
      <c r="F330" s="253">
        <v>2932</v>
      </c>
      <c r="G330" s="186"/>
    </row>
    <row r="331" spans="1:7">
      <c r="A331" s="234" t="s">
        <v>350</v>
      </c>
      <c r="B331" s="252">
        <v>6091</v>
      </c>
      <c r="C331" s="252">
        <v>463</v>
      </c>
      <c r="D331" s="252">
        <v>5628</v>
      </c>
      <c r="E331" s="253">
        <v>0</v>
      </c>
      <c r="F331" s="253">
        <v>6091</v>
      </c>
      <c r="G331" s="186"/>
    </row>
    <row r="332" spans="1:7">
      <c r="A332" s="234" t="s">
        <v>349</v>
      </c>
      <c r="B332" s="252">
        <v>3181</v>
      </c>
      <c r="C332" s="252">
        <v>126</v>
      </c>
      <c r="D332" s="252">
        <v>3055</v>
      </c>
      <c r="E332" s="253">
        <v>0</v>
      </c>
      <c r="F332" s="253">
        <v>3181</v>
      </c>
      <c r="G332" s="186"/>
    </row>
    <row r="333" spans="1:7">
      <c r="A333" s="246" t="s">
        <v>348</v>
      </c>
      <c r="B333" s="252">
        <v>51133</v>
      </c>
      <c r="C333" s="252">
        <v>4357</v>
      </c>
      <c r="D333" s="252">
        <v>46776</v>
      </c>
      <c r="E333" s="253">
        <v>0</v>
      </c>
      <c r="F333" s="253">
        <v>51133</v>
      </c>
      <c r="G333" s="186"/>
    </row>
    <row r="334" spans="1:7">
      <c r="A334" s="234" t="s">
        <v>347</v>
      </c>
      <c r="B334" s="252">
        <v>45480</v>
      </c>
      <c r="C334" s="252">
        <v>5194</v>
      </c>
      <c r="D334" s="252">
        <v>40286</v>
      </c>
      <c r="E334" s="253">
        <v>0</v>
      </c>
      <c r="F334" s="253">
        <v>45480</v>
      </c>
      <c r="G334" s="186"/>
    </row>
    <row r="335" spans="1:7">
      <c r="A335" s="246" t="s">
        <v>346</v>
      </c>
      <c r="B335" s="252">
        <v>71314</v>
      </c>
      <c r="C335" s="252">
        <v>25605</v>
      </c>
      <c r="D335" s="253">
        <v>45709</v>
      </c>
      <c r="E335" s="253">
        <v>0</v>
      </c>
      <c r="F335" s="253">
        <v>71314</v>
      </c>
      <c r="G335" s="186"/>
    </row>
    <row r="336" spans="1:7">
      <c r="A336" s="234" t="s">
        <v>345</v>
      </c>
      <c r="B336" s="252">
        <v>2146</v>
      </c>
      <c r="C336" s="252">
        <v>-179</v>
      </c>
      <c r="D336" s="252">
        <v>2325</v>
      </c>
      <c r="E336" s="253">
        <v>0</v>
      </c>
      <c r="F336" s="253">
        <v>2146</v>
      </c>
      <c r="G336" s="186"/>
    </row>
    <row r="337" spans="1:7">
      <c r="A337" s="234" t="s">
        <v>344</v>
      </c>
      <c r="B337" s="252">
        <v>13405</v>
      </c>
      <c r="C337" s="252">
        <v>2160</v>
      </c>
      <c r="D337" s="252">
        <v>11245</v>
      </c>
      <c r="E337" s="253">
        <v>0</v>
      </c>
      <c r="F337" s="253">
        <v>13405</v>
      </c>
      <c r="G337" s="186"/>
    </row>
    <row r="338" spans="1:7">
      <c r="A338" s="234" t="s">
        <v>343</v>
      </c>
      <c r="B338" s="252">
        <v>943</v>
      </c>
      <c r="C338" s="252">
        <v>24</v>
      </c>
      <c r="D338" s="252">
        <v>919</v>
      </c>
      <c r="E338" s="253">
        <v>0</v>
      </c>
      <c r="F338" s="253">
        <v>943</v>
      </c>
      <c r="G338" s="186"/>
    </row>
    <row r="339" spans="1:7">
      <c r="A339" s="246" t="s">
        <v>47</v>
      </c>
      <c r="B339" s="252">
        <v>239956</v>
      </c>
      <c r="C339" s="252">
        <v>15289</v>
      </c>
      <c r="D339" s="252">
        <v>224667</v>
      </c>
      <c r="E339" s="253">
        <v>0</v>
      </c>
      <c r="F339" s="253">
        <v>239956</v>
      </c>
      <c r="G339" s="186"/>
    </row>
    <row r="340" spans="1:7">
      <c r="A340" s="234" t="s">
        <v>342</v>
      </c>
      <c r="B340" s="252">
        <v>23644</v>
      </c>
      <c r="C340" s="252">
        <v>1900</v>
      </c>
      <c r="D340" s="252">
        <v>21744</v>
      </c>
      <c r="E340" s="253">
        <v>0</v>
      </c>
      <c r="F340" s="253">
        <v>23644</v>
      </c>
      <c r="G340" s="186"/>
    </row>
    <row r="341" spans="1:7">
      <c r="A341" s="246" t="s">
        <v>341</v>
      </c>
      <c r="B341" s="252">
        <v>76334</v>
      </c>
      <c r="C341" s="252">
        <v>15825</v>
      </c>
      <c r="D341" s="252">
        <v>60509</v>
      </c>
      <c r="E341" s="253">
        <v>17</v>
      </c>
      <c r="F341" s="253">
        <v>76317</v>
      </c>
      <c r="G341" s="186"/>
    </row>
    <row r="342" spans="1:7">
      <c r="A342" s="234" t="s">
        <v>340</v>
      </c>
      <c r="B342" s="252">
        <v>87</v>
      </c>
      <c r="C342" s="252">
        <v>1</v>
      </c>
      <c r="D342" s="252">
        <v>86</v>
      </c>
      <c r="E342" s="253">
        <v>0</v>
      </c>
      <c r="F342" s="253">
        <v>87</v>
      </c>
      <c r="G342" s="186"/>
    </row>
    <row r="343" spans="1:7">
      <c r="A343" s="246" t="s">
        <v>634</v>
      </c>
      <c r="B343" s="252">
        <v>0</v>
      </c>
      <c r="C343" s="252">
        <v>-18</v>
      </c>
      <c r="D343" s="252">
        <v>18</v>
      </c>
      <c r="E343" s="253">
        <v>0</v>
      </c>
      <c r="F343" s="253">
        <v>0</v>
      </c>
      <c r="G343" s="186"/>
    </row>
    <row r="344" spans="1:7">
      <c r="A344" s="234" t="s">
        <v>339</v>
      </c>
      <c r="B344" s="252">
        <v>12925</v>
      </c>
      <c r="C344" s="252">
        <v>581</v>
      </c>
      <c r="D344" s="252">
        <v>12344</v>
      </c>
      <c r="E344" s="253">
        <v>0</v>
      </c>
      <c r="F344" s="253">
        <v>12925</v>
      </c>
      <c r="G344" s="186"/>
    </row>
    <row r="345" spans="1:7">
      <c r="A345" s="234" t="s">
        <v>338</v>
      </c>
      <c r="B345" s="252">
        <v>995</v>
      </c>
      <c r="C345" s="252">
        <v>157</v>
      </c>
      <c r="D345" s="252">
        <v>838</v>
      </c>
      <c r="E345" s="253">
        <v>0</v>
      </c>
      <c r="F345" s="253">
        <v>995</v>
      </c>
      <c r="G345" s="186"/>
    </row>
    <row r="346" spans="1:7">
      <c r="A346" s="234" t="s">
        <v>48</v>
      </c>
      <c r="B346" s="252">
        <v>497924</v>
      </c>
      <c r="C346" s="252">
        <v>98416</v>
      </c>
      <c r="D346" s="253">
        <v>399508</v>
      </c>
      <c r="E346" s="253">
        <v>2945</v>
      </c>
      <c r="F346" s="253">
        <v>494979</v>
      </c>
      <c r="G346" s="186" t="s">
        <v>631</v>
      </c>
    </row>
    <row r="347" spans="1:7">
      <c r="A347" s="246" t="s">
        <v>49</v>
      </c>
      <c r="B347" s="252">
        <v>94161</v>
      </c>
      <c r="C347" s="252">
        <v>6383</v>
      </c>
      <c r="D347" s="252">
        <v>87778</v>
      </c>
      <c r="E347" s="253">
        <v>0</v>
      </c>
      <c r="F347" s="253">
        <v>94161</v>
      </c>
      <c r="G347" s="186"/>
    </row>
    <row r="348" spans="1:7">
      <c r="A348" s="246" t="s">
        <v>50</v>
      </c>
      <c r="B348" s="252">
        <v>114363</v>
      </c>
      <c r="C348" s="252">
        <v>7197</v>
      </c>
      <c r="D348" s="252">
        <v>107166</v>
      </c>
      <c r="E348" s="253">
        <v>0</v>
      </c>
      <c r="F348" s="253">
        <v>114363</v>
      </c>
      <c r="G348" s="186"/>
    </row>
    <row r="349" spans="1:7">
      <c r="A349" s="234" t="s">
        <v>337</v>
      </c>
      <c r="B349" s="252">
        <v>32299</v>
      </c>
      <c r="C349" s="252">
        <v>2938</v>
      </c>
      <c r="D349" s="252">
        <v>29361</v>
      </c>
      <c r="E349" s="253">
        <v>11</v>
      </c>
      <c r="F349" s="253">
        <v>32288</v>
      </c>
      <c r="G349" s="186"/>
    </row>
    <row r="350" spans="1:7">
      <c r="A350" s="234" t="s">
        <v>336</v>
      </c>
      <c r="B350" s="252">
        <v>10817</v>
      </c>
      <c r="C350" s="252">
        <v>324</v>
      </c>
      <c r="D350" s="252">
        <v>10493</v>
      </c>
      <c r="E350" s="253">
        <v>0</v>
      </c>
      <c r="F350" s="253">
        <v>10817</v>
      </c>
      <c r="G350" s="186"/>
    </row>
    <row r="351" spans="1:7">
      <c r="A351" s="234" t="s">
        <v>335</v>
      </c>
      <c r="B351" s="252">
        <v>14255</v>
      </c>
      <c r="C351" s="252">
        <v>446</v>
      </c>
      <c r="D351" s="252">
        <v>13809</v>
      </c>
      <c r="E351" s="253">
        <v>0</v>
      </c>
      <c r="F351" s="253">
        <v>14255</v>
      </c>
      <c r="G351" s="186"/>
    </row>
    <row r="352" spans="1:7">
      <c r="A352" s="234" t="s">
        <v>334</v>
      </c>
      <c r="B352" s="252">
        <v>9064</v>
      </c>
      <c r="C352" s="252">
        <v>1927</v>
      </c>
      <c r="D352" s="252">
        <v>7137</v>
      </c>
      <c r="E352" s="253">
        <v>0</v>
      </c>
      <c r="F352" s="253">
        <v>9064</v>
      </c>
      <c r="G352" s="186"/>
    </row>
    <row r="353" spans="1:7">
      <c r="A353" s="246" t="s">
        <v>51</v>
      </c>
      <c r="B353" s="252">
        <v>65089</v>
      </c>
      <c r="C353" s="252">
        <v>6177</v>
      </c>
      <c r="D353" s="253">
        <v>58912</v>
      </c>
      <c r="E353" s="253">
        <v>0</v>
      </c>
      <c r="F353" s="253">
        <v>65089</v>
      </c>
      <c r="G353" s="186"/>
    </row>
    <row r="354" spans="1:7">
      <c r="A354" s="234" t="s">
        <v>333</v>
      </c>
      <c r="B354" s="252">
        <v>47722</v>
      </c>
      <c r="C354" s="252">
        <v>6199</v>
      </c>
      <c r="D354" s="252">
        <v>41523</v>
      </c>
      <c r="E354" s="253">
        <v>0</v>
      </c>
      <c r="F354" s="253">
        <v>47722</v>
      </c>
      <c r="G354" s="186"/>
    </row>
    <row r="355" spans="1:7">
      <c r="A355" s="234" t="s">
        <v>332</v>
      </c>
      <c r="B355" s="252">
        <v>18090</v>
      </c>
      <c r="C355" s="252">
        <v>2871</v>
      </c>
      <c r="D355" s="252">
        <v>15219</v>
      </c>
      <c r="E355" s="253">
        <v>0</v>
      </c>
      <c r="F355" s="253">
        <v>18090</v>
      </c>
      <c r="G355" s="186"/>
    </row>
    <row r="356" spans="1:7">
      <c r="A356" s="246" t="s">
        <v>331</v>
      </c>
      <c r="B356" s="252">
        <v>24870</v>
      </c>
      <c r="C356" s="252">
        <v>1462</v>
      </c>
      <c r="D356" s="252">
        <v>23408</v>
      </c>
      <c r="E356" s="253">
        <v>0</v>
      </c>
      <c r="F356" s="253">
        <v>24870</v>
      </c>
      <c r="G356" s="186"/>
    </row>
    <row r="357" spans="1:7">
      <c r="A357" s="234" t="s">
        <v>330</v>
      </c>
      <c r="B357" s="252">
        <v>18619</v>
      </c>
      <c r="C357" s="252">
        <v>396</v>
      </c>
      <c r="D357" s="252">
        <v>18223</v>
      </c>
      <c r="E357" s="253">
        <v>0</v>
      </c>
      <c r="F357" s="253">
        <v>18619</v>
      </c>
      <c r="G357" s="186"/>
    </row>
    <row r="358" spans="1:7">
      <c r="A358" s="234" t="s">
        <v>329</v>
      </c>
      <c r="B358" s="252">
        <v>12900</v>
      </c>
      <c r="C358" s="252">
        <v>1243</v>
      </c>
      <c r="D358" s="252">
        <v>11657</v>
      </c>
      <c r="E358" s="253">
        <v>0</v>
      </c>
      <c r="F358" s="253">
        <v>12900</v>
      </c>
      <c r="G358" s="186"/>
    </row>
    <row r="359" spans="1:7">
      <c r="A359" s="234" t="s">
        <v>328</v>
      </c>
      <c r="B359" s="252">
        <v>23869</v>
      </c>
      <c r="C359" s="252">
        <v>3037</v>
      </c>
      <c r="D359" s="252">
        <v>20832</v>
      </c>
      <c r="E359" s="253">
        <v>0</v>
      </c>
      <c r="F359" s="253">
        <v>23869</v>
      </c>
      <c r="G359" s="186"/>
    </row>
    <row r="360" spans="1:7">
      <c r="A360" s="234" t="s">
        <v>327</v>
      </c>
      <c r="B360" s="252">
        <v>5997</v>
      </c>
      <c r="C360" s="252">
        <v>253</v>
      </c>
      <c r="D360" s="252">
        <v>5744</v>
      </c>
      <c r="E360" s="253">
        <v>0</v>
      </c>
      <c r="F360" s="253">
        <v>5997</v>
      </c>
      <c r="G360" s="186"/>
    </row>
    <row r="361" spans="1:7">
      <c r="A361" s="234" t="s">
        <v>326</v>
      </c>
      <c r="B361" s="252">
        <v>22348</v>
      </c>
      <c r="C361" s="252">
        <v>8849</v>
      </c>
      <c r="D361" s="252">
        <v>13499</v>
      </c>
      <c r="E361" s="253">
        <v>0</v>
      </c>
      <c r="F361" s="253">
        <v>22348</v>
      </c>
      <c r="G361" s="186"/>
    </row>
    <row r="362" spans="1:7">
      <c r="A362" s="234" t="s">
        <v>325</v>
      </c>
      <c r="B362" s="252">
        <v>2439</v>
      </c>
      <c r="C362" s="252">
        <v>64</v>
      </c>
      <c r="D362" s="252">
        <v>2375</v>
      </c>
      <c r="E362" s="253">
        <v>0</v>
      </c>
      <c r="F362" s="253">
        <v>2439</v>
      </c>
      <c r="G362" s="186"/>
    </row>
    <row r="363" spans="1:7">
      <c r="A363" s="234" t="s">
        <v>324</v>
      </c>
      <c r="B363" s="252">
        <v>8915</v>
      </c>
      <c r="C363" s="252">
        <v>2950</v>
      </c>
      <c r="D363" s="252">
        <v>5965</v>
      </c>
      <c r="E363" s="253">
        <v>0</v>
      </c>
      <c r="F363" s="253">
        <v>8915</v>
      </c>
      <c r="G363" s="186"/>
    </row>
    <row r="364" spans="1:7">
      <c r="A364" s="246" t="s">
        <v>627</v>
      </c>
      <c r="B364" s="252">
        <v>1220446</v>
      </c>
      <c r="C364" s="252">
        <v>111022</v>
      </c>
      <c r="D364" s="252">
        <v>1109424</v>
      </c>
      <c r="E364" s="253">
        <v>6518</v>
      </c>
      <c r="F364" s="253">
        <v>1213928</v>
      </c>
      <c r="G364" s="186"/>
    </row>
    <row r="365" spans="1:7">
      <c r="A365" s="237" t="s">
        <v>523</v>
      </c>
      <c r="B365" s="252" t="s">
        <v>523</v>
      </c>
      <c r="C365" s="252" t="s">
        <v>523</v>
      </c>
      <c r="D365" s="253" t="s">
        <v>523</v>
      </c>
      <c r="E365" s="253" t="s">
        <v>523</v>
      </c>
      <c r="F365" s="253" t="s">
        <v>523</v>
      </c>
      <c r="G365" s="186"/>
    </row>
    <row r="366" spans="1:7">
      <c r="A366" s="233" t="s">
        <v>52</v>
      </c>
      <c r="B366" s="250">
        <v>77823</v>
      </c>
      <c r="C366" s="250">
        <v>4733</v>
      </c>
      <c r="D366" s="250">
        <v>73090</v>
      </c>
      <c r="E366" s="251">
        <v>0</v>
      </c>
      <c r="F366" s="251">
        <v>77823</v>
      </c>
      <c r="G366" s="186"/>
    </row>
    <row r="367" spans="1:7">
      <c r="A367" s="234" t="s">
        <v>524</v>
      </c>
      <c r="B367" s="252">
        <v>6400</v>
      </c>
      <c r="C367" s="252">
        <v>281</v>
      </c>
      <c r="D367" s="252">
        <v>6119</v>
      </c>
      <c r="E367" s="253">
        <v>0</v>
      </c>
      <c r="F367" s="253">
        <v>6400</v>
      </c>
      <c r="G367" s="186"/>
    </row>
    <row r="368" spans="1:7">
      <c r="A368" s="234" t="s">
        <v>323</v>
      </c>
      <c r="B368" s="252">
        <v>795</v>
      </c>
      <c r="C368" s="252">
        <v>-2</v>
      </c>
      <c r="D368" s="252">
        <v>797</v>
      </c>
      <c r="E368" s="253">
        <v>0</v>
      </c>
      <c r="F368" s="253">
        <v>795</v>
      </c>
      <c r="G368" s="186"/>
    </row>
    <row r="369" spans="1:7">
      <c r="A369" s="234" t="s">
        <v>322</v>
      </c>
      <c r="B369" s="252">
        <v>24868</v>
      </c>
      <c r="C369" s="252">
        <v>219</v>
      </c>
      <c r="D369" s="252">
        <v>24649</v>
      </c>
      <c r="E369" s="253">
        <v>0</v>
      </c>
      <c r="F369" s="253">
        <v>24868</v>
      </c>
      <c r="G369" s="186"/>
    </row>
    <row r="370" spans="1:7">
      <c r="A370" s="234" t="s">
        <v>321</v>
      </c>
      <c r="B370" s="252">
        <v>186</v>
      </c>
      <c r="C370" s="252">
        <v>2</v>
      </c>
      <c r="D370" s="252">
        <v>184</v>
      </c>
      <c r="E370" s="253">
        <v>0</v>
      </c>
      <c r="F370" s="253">
        <v>186</v>
      </c>
      <c r="G370" s="186"/>
    </row>
    <row r="371" spans="1:7">
      <c r="A371" s="234" t="s">
        <v>320</v>
      </c>
      <c r="B371" s="252">
        <v>9097</v>
      </c>
      <c r="C371" s="252">
        <v>800</v>
      </c>
      <c r="D371" s="252">
        <v>8297</v>
      </c>
      <c r="E371" s="253">
        <v>0</v>
      </c>
      <c r="F371" s="253">
        <v>9097</v>
      </c>
      <c r="G371" s="186"/>
    </row>
    <row r="372" spans="1:7">
      <c r="A372" s="234" t="s">
        <v>627</v>
      </c>
      <c r="B372" s="252">
        <v>36477</v>
      </c>
      <c r="C372" s="252">
        <v>3433</v>
      </c>
      <c r="D372" s="252">
        <v>33044</v>
      </c>
      <c r="E372" s="253">
        <v>0</v>
      </c>
      <c r="F372" s="253">
        <v>36477</v>
      </c>
      <c r="G372" s="186"/>
    </row>
    <row r="373" spans="1:7">
      <c r="A373" s="238" t="s">
        <v>523</v>
      </c>
      <c r="B373" s="252" t="s">
        <v>523</v>
      </c>
      <c r="C373" s="252" t="s">
        <v>523</v>
      </c>
      <c r="D373" s="253" t="s">
        <v>523</v>
      </c>
      <c r="E373" s="253" t="s">
        <v>523</v>
      </c>
      <c r="F373" s="253" t="s">
        <v>523</v>
      </c>
      <c r="G373" s="186"/>
    </row>
    <row r="374" spans="1:7">
      <c r="A374" s="233" t="s">
        <v>53</v>
      </c>
      <c r="B374" s="250">
        <v>89258</v>
      </c>
      <c r="C374" s="250">
        <v>15944</v>
      </c>
      <c r="D374" s="250">
        <v>73314</v>
      </c>
      <c r="E374" s="251">
        <v>70</v>
      </c>
      <c r="F374" s="251">
        <v>89188</v>
      </c>
      <c r="G374" s="186"/>
    </row>
    <row r="375" spans="1:7">
      <c r="A375" s="234" t="s">
        <v>319</v>
      </c>
      <c r="B375" s="252">
        <v>1347</v>
      </c>
      <c r="C375" s="252">
        <v>224</v>
      </c>
      <c r="D375" s="252">
        <v>1123</v>
      </c>
      <c r="E375" s="253">
        <v>0</v>
      </c>
      <c r="F375" s="253">
        <v>1347</v>
      </c>
      <c r="G375" s="186"/>
    </row>
    <row r="376" spans="1:7">
      <c r="A376" s="234" t="s">
        <v>318</v>
      </c>
      <c r="B376" s="252">
        <v>13534</v>
      </c>
      <c r="C376" s="252">
        <v>2047</v>
      </c>
      <c r="D376" s="252">
        <v>11487</v>
      </c>
      <c r="E376" s="253">
        <v>24</v>
      </c>
      <c r="F376" s="253">
        <v>13510</v>
      </c>
      <c r="G376" s="186"/>
    </row>
    <row r="377" spans="1:7">
      <c r="A377" s="234" t="s">
        <v>317</v>
      </c>
      <c r="B377" s="252">
        <v>3076</v>
      </c>
      <c r="C377" s="252">
        <v>-10</v>
      </c>
      <c r="D377" s="252">
        <v>3086</v>
      </c>
      <c r="E377" s="253">
        <v>0</v>
      </c>
      <c r="F377" s="253">
        <v>3076</v>
      </c>
      <c r="G377" s="186"/>
    </row>
    <row r="378" spans="1:7">
      <c r="A378" s="234" t="s">
        <v>627</v>
      </c>
      <c r="B378" s="252">
        <v>71301</v>
      </c>
      <c r="C378" s="252">
        <v>13683</v>
      </c>
      <c r="D378" s="252">
        <v>57618</v>
      </c>
      <c r="E378" s="253">
        <v>46</v>
      </c>
      <c r="F378" s="253">
        <v>71255</v>
      </c>
      <c r="G378" s="186"/>
    </row>
    <row r="379" spans="1:7">
      <c r="A379" s="235" t="s">
        <v>523</v>
      </c>
      <c r="B379" s="252" t="s">
        <v>523</v>
      </c>
      <c r="C379" s="252" t="s">
        <v>523</v>
      </c>
      <c r="D379" s="252" t="s">
        <v>523</v>
      </c>
      <c r="E379" s="253" t="s">
        <v>523</v>
      </c>
      <c r="F379" s="253" t="s">
        <v>523</v>
      </c>
      <c r="G379" s="186"/>
    </row>
    <row r="380" spans="1:7">
      <c r="A380" s="233" t="s">
        <v>54</v>
      </c>
      <c r="B380" s="250">
        <v>203951</v>
      </c>
      <c r="C380" s="250">
        <v>23129</v>
      </c>
      <c r="D380" s="250">
        <v>180822</v>
      </c>
      <c r="E380" s="251">
        <v>1295</v>
      </c>
      <c r="F380" s="251">
        <v>202656</v>
      </c>
      <c r="G380" s="186"/>
    </row>
    <row r="381" spans="1:7">
      <c r="A381" s="234" t="s">
        <v>316</v>
      </c>
      <c r="B381" s="252">
        <v>419</v>
      </c>
      <c r="C381" s="252">
        <v>36</v>
      </c>
      <c r="D381" s="252">
        <v>383</v>
      </c>
      <c r="E381" s="253">
        <v>0</v>
      </c>
      <c r="F381" s="253">
        <v>419</v>
      </c>
      <c r="G381" s="186"/>
    </row>
    <row r="382" spans="1:7">
      <c r="A382" s="234" t="s">
        <v>315</v>
      </c>
      <c r="B382" s="252">
        <v>26178</v>
      </c>
      <c r="C382" s="252">
        <v>5200</v>
      </c>
      <c r="D382" s="252">
        <v>20978</v>
      </c>
      <c r="E382" s="253">
        <v>0</v>
      </c>
      <c r="F382" s="253">
        <v>26178</v>
      </c>
      <c r="G382" s="186"/>
    </row>
    <row r="383" spans="1:7">
      <c r="A383" s="234" t="s">
        <v>314</v>
      </c>
      <c r="B383" s="252">
        <v>13480</v>
      </c>
      <c r="C383" s="252">
        <v>1175</v>
      </c>
      <c r="D383" s="252">
        <v>12305</v>
      </c>
      <c r="E383" s="253">
        <v>0</v>
      </c>
      <c r="F383" s="253">
        <v>13480</v>
      </c>
      <c r="G383" s="186"/>
    </row>
    <row r="384" spans="1:7">
      <c r="A384" s="234" t="s">
        <v>605</v>
      </c>
      <c r="B384" s="252">
        <v>21064</v>
      </c>
      <c r="C384" s="252">
        <v>1557</v>
      </c>
      <c r="D384" s="252">
        <v>19507</v>
      </c>
      <c r="E384" s="253">
        <v>0</v>
      </c>
      <c r="F384" s="253">
        <v>21064</v>
      </c>
      <c r="G384" s="186"/>
    </row>
    <row r="385" spans="1:7">
      <c r="A385" s="234" t="s">
        <v>313</v>
      </c>
      <c r="B385" s="252">
        <v>590</v>
      </c>
      <c r="C385" s="252">
        <v>53</v>
      </c>
      <c r="D385" s="252">
        <v>537</v>
      </c>
      <c r="E385" s="253">
        <v>0</v>
      </c>
      <c r="F385" s="253">
        <v>590</v>
      </c>
      <c r="G385" s="186"/>
    </row>
    <row r="386" spans="1:7">
      <c r="A386" s="234" t="s">
        <v>312</v>
      </c>
      <c r="B386" s="252">
        <v>4038</v>
      </c>
      <c r="C386" s="252">
        <v>187</v>
      </c>
      <c r="D386" s="252">
        <v>3851</v>
      </c>
      <c r="E386" s="253">
        <v>0</v>
      </c>
      <c r="F386" s="253">
        <v>4038</v>
      </c>
      <c r="G386" s="186"/>
    </row>
    <row r="387" spans="1:7">
      <c r="A387" s="234" t="s">
        <v>311</v>
      </c>
      <c r="B387" s="252">
        <v>14976</v>
      </c>
      <c r="C387" s="252">
        <v>2227</v>
      </c>
      <c r="D387" s="252">
        <v>12749</v>
      </c>
      <c r="E387" s="253">
        <v>0</v>
      </c>
      <c r="F387" s="253">
        <v>14976</v>
      </c>
      <c r="G387" s="186"/>
    </row>
    <row r="388" spans="1:7">
      <c r="A388" s="234" t="s">
        <v>310</v>
      </c>
      <c r="B388" s="252">
        <v>844</v>
      </c>
      <c r="C388" s="252">
        <v>127</v>
      </c>
      <c r="D388" s="252">
        <v>717</v>
      </c>
      <c r="E388" s="253">
        <v>0</v>
      </c>
      <c r="F388" s="253">
        <v>844</v>
      </c>
      <c r="G388" s="186"/>
    </row>
    <row r="389" spans="1:7">
      <c r="A389" s="234" t="s">
        <v>309</v>
      </c>
      <c r="B389" s="252">
        <v>5408</v>
      </c>
      <c r="C389" s="252">
        <v>372</v>
      </c>
      <c r="D389" s="252">
        <v>5036</v>
      </c>
      <c r="E389" s="253">
        <v>0</v>
      </c>
      <c r="F389" s="253">
        <v>5408</v>
      </c>
      <c r="G389" s="186"/>
    </row>
    <row r="390" spans="1:7">
      <c r="A390" s="234" t="s">
        <v>627</v>
      </c>
      <c r="B390" s="252">
        <v>116954</v>
      </c>
      <c r="C390" s="252">
        <v>12195</v>
      </c>
      <c r="D390" s="252">
        <v>104759</v>
      </c>
      <c r="E390" s="253">
        <v>1295</v>
      </c>
      <c r="F390" s="253">
        <v>115659</v>
      </c>
      <c r="G390" s="186"/>
    </row>
    <row r="391" spans="1:7">
      <c r="A391" s="235" t="s">
        <v>523</v>
      </c>
      <c r="B391" s="252" t="s">
        <v>523</v>
      </c>
      <c r="C391" s="252" t="s">
        <v>523</v>
      </c>
      <c r="D391" s="253" t="s">
        <v>523</v>
      </c>
      <c r="E391" s="253" t="s">
        <v>523</v>
      </c>
      <c r="F391" s="253" t="s">
        <v>523</v>
      </c>
      <c r="G391" s="186"/>
    </row>
    <row r="392" spans="1:7">
      <c r="A392" s="233" t="s">
        <v>55</v>
      </c>
      <c r="B392" s="250">
        <v>42112</v>
      </c>
      <c r="C392" s="250">
        <v>2116</v>
      </c>
      <c r="D392" s="250">
        <v>39996</v>
      </c>
      <c r="E392" s="251">
        <v>2417</v>
      </c>
      <c r="F392" s="251">
        <v>39695</v>
      </c>
      <c r="G392" s="186"/>
    </row>
    <row r="393" spans="1:7">
      <c r="A393" s="234" t="s">
        <v>518</v>
      </c>
      <c r="B393" s="252">
        <v>5688</v>
      </c>
      <c r="C393" s="252">
        <v>67</v>
      </c>
      <c r="D393" s="252">
        <v>5621</v>
      </c>
      <c r="E393" s="253">
        <v>0</v>
      </c>
      <c r="F393" s="253">
        <v>5688</v>
      </c>
      <c r="G393" s="186"/>
    </row>
    <row r="394" spans="1:7">
      <c r="A394" s="234" t="s">
        <v>627</v>
      </c>
      <c r="B394" s="252">
        <v>36424</v>
      </c>
      <c r="C394" s="252">
        <v>2049</v>
      </c>
      <c r="D394" s="252">
        <v>34375</v>
      </c>
      <c r="E394" s="253">
        <v>2417</v>
      </c>
      <c r="F394" s="253">
        <v>34007</v>
      </c>
      <c r="G394" s="186"/>
    </row>
    <row r="395" spans="1:7">
      <c r="A395" s="235" t="s">
        <v>523</v>
      </c>
      <c r="B395" s="252" t="s">
        <v>523</v>
      </c>
      <c r="C395" s="252" t="s">
        <v>523</v>
      </c>
      <c r="D395" s="253" t="s">
        <v>523</v>
      </c>
      <c r="E395" s="253" t="s">
        <v>523</v>
      </c>
      <c r="F395" s="253" t="s">
        <v>523</v>
      </c>
      <c r="G395" s="186"/>
    </row>
    <row r="396" spans="1:7">
      <c r="A396" s="233" t="s">
        <v>56</v>
      </c>
      <c r="B396" s="250">
        <v>1415260</v>
      </c>
      <c r="C396" s="250">
        <v>269304</v>
      </c>
      <c r="D396" s="250">
        <v>1145956</v>
      </c>
      <c r="E396" s="251">
        <v>3265</v>
      </c>
      <c r="F396" s="251">
        <v>1411995</v>
      </c>
      <c r="G396" s="186" t="s">
        <v>631</v>
      </c>
    </row>
    <row r="397" spans="1:7">
      <c r="A397" s="234" t="s">
        <v>308</v>
      </c>
      <c r="B397" s="252">
        <v>53632</v>
      </c>
      <c r="C397" s="252">
        <v>12090</v>
      </c>
      <c r="D397" s="252">
        <v>41542</v>
      </c>
      <c r="E397" s="253">
        <v>0</v>
      </c>
      <c r="F397" s="253">
        <v>53632</v>
      </c>
      <c r="G397" s="186"/>
    </row>
    <row r="398" spans="1:7">
      <c r="A398" s="234" t="s">
        <v>307</v>
      </c>
      <c r="B398" s="252">
        <v>15</v>
      </c>
      <c r="C398" s="252">
        <v>-32</v>
      </c>
      <c r="D398" s="252">
        <v>47</v>
      </c>
      <c r="E398" s="253">
        <v>0</v>
      </c>
      <c r="F398" s="253">
        <v>15</v>
      </c>
      <c r="G398" s="186"/>
    </row>
    <row r="399" spans="1:7">
      <c r="A399" s="234" t="s">
        <v>306</v>
      </c>
      <c r="B399" s="252">
        <v>7378</v>
      </c>
      <c r="C399" s="252">
        <v>1390</v>
      </c>
      <c r="D399" s="252">
        <v>5988</v>
      </c>
      <c r="E399" s="253">
        <v>0</v>
      </c>
      <c r="F399" s="253">
        <v>7378</v>
      </c>
      <c r="G399" s="186"/>
    </row>
    <row r="400" spans="1:7">
      <c r="A400" s="234" t="s">
        <v>305</v>
      </c>
      <c r="B400" s="252">
        <v>2351</v>
      </c>
      <c r="C400" s="252">
        <v>192</v>
      </c>
      <c r="D400" s="252">
        <v>2159</v>
      </c>
      <c r="E400" s="253">
        <v>63</v>
      </c>
      <c r="F400" s="253">
        <v>2288</v>
      </c>
      <c r="G400" s="186"/>
    </row>
    <row r="401" spans="1:7">
      <c r="A401" s="234" t="s">
        <v>304</v>
      </c>
      <c r="B401" s="252">
        <v>2791</v>
      </c>
      <c r="C401" s="252">
        <v>288</v>
      </c>
      <c r="D401" s="252">
        <v>2503</v>
      </c>
      <c r="E401" s="253">
        <v>0</v>
      </c>
      <c r="F401" s="253">
        <v>2791</v>
      </c>
      <c r="G401" s="186"/>
    </row>
    <row r="402" spans="1:7">
      <c r="A402" s="234" t="s">
        <v>303</v>
      </c>
      <c r="B402" s="252">
        <v>24</v>
      </c>
      <c r="C402" s="252">
        <v>14</v>
      </c>
      <c r="D402" s="252">
        <v>10</v>
      </c>
      <c r="E402" s="253">
        <v>0</v>
      </c>
      <c r="F402" s="253">
        <v>24</v>
      </c>
      <c r="G402" s="186"/>
    </row>
    <row r="403" spans="1:7">
      <c r="A403" s="234" t="s">
        <v>302</v>
      </c>
      <c r="B403" s="252">
        <v>21113</v>
      </c>
      <c r="C403" s="252">
        <v>5362</v>
      </c>
      <c r="D403" s="252">
        <v>15751</v>
      </c>
      <c r="E403" s="253">
        <v>0</v>
      </c>
      <c r="F403" s="253">
        <v>21113</v>
      </c>
      <c r="G403" s="186"/>
    </row>
    <row r="404" spans="1:7">
      <c r="A404" s="234" t="s">
        <v>301</v>
      </c>
      <c r="B404" s="252">
        <v>3809</v>
      </c>
      <c r="C404" s="252">
        <v>1271</v>
      </c>
      <c r="D404" s="252">
        <v>2538</v>
      </c>
      <c r="E404" s="253">
        <v>0</v>
      </c>
      <c r="F404" s="253">
        <v>3809</v>
      </c>
      <c r="G404" s="186"/>
    </row>
    <row r="405" spans="1:7">
      <c r="A405" s="234" t="s">
        <v>300</v>
      </c>
      <c r="B405" s="252">
        <v>49781</v>
      </c>
      <c r="C405" s="252">
        <v>14202</v>
      </c>
      <c r="D405" s="252">
        <v>35579</v>
      </c>
      <c r="E405" s="253">
        <v>0</v>
      </c>
      <c r="F405" s="253">
        <v>49781</v>
      </c>
      <c r="G405" s="186"/>
    </row>
    <row r="406" spans="1:7">
      <c r="A406" s="234" t="s">
        <v>141</v>
      </c>
      <c r="B406" s="252">
        <v>298943</v>
      </c>
      <c r="C406" s="252">
        <v>60643</v>
      </c>
      <c r="D406" s="252">
        <v>238300</v>
      </c>
      <c r="E406" s="253">
        <v>581</v>
      </c>
      <c r="F406" s="253">
        <v>298362</v>
      </c>
      <c r="G406" s="186" t="s">
        <v>631</v>
      </c>
    </row>
    <row r="407" spans="1:7">
      <c r="A407" s="234" t="s">
        <v>299</v>
      </c>
      <c r="B407" s="252">
        <v>3024</v>
      </c>
      <c r="C407" s="252">
        <v>562</v>
      </c>
      <c r="D407" s="252">
        <v>2462</v>
      </c>
      <c r="E407" s="253">
        <v>0</v>
      </c>
      <c r="F407" s="253">
        <v>3024</v>
      </c>
      <c r="G407" s="186"/>
    </row>
    <row r="408" spans="1:7">
      <c r="A408" s="234" t="s">
        <v>298</v>
      </c>
      <c r="B408" s="252">
        <v>48469</v>
      </c>
      <c r="C408" s="252">
        <v>13901</v>
      </c>
      <c r="D408" s="252">
        <v>34568</v>
      </c>
      <c r="E408" s="253">
        <v>0</v>
      </c>
      <c r="F408" s="253">
        <v>48469</v>
      </c>
      <c r="G408" s="186"/>
    </row>
    <row r="409" spans="1:7">
      <c r="A409" s="234" t="s">
        <v>297</v>
      </c>
      <c r="B409" s="252">
        <v>30630</v>
      </c>
      <c r="C409" s="252">
        <v>2778</v>
      </c>
      <c r="D409" s="252">
        <v>27852</v>
      </c>
      <c r="E409" s="253">
        <v>0</v>
      </c>
      <c r="F409" s="253">
        <v>30630</v>
      </c>
      <c r="G409" s="186"/>
    </row>
    <row r="410" spans="1:7">
      <c r="A410" s="234" t="s">
        <v>627</v>
      </c>
      <c r="B410" s="252">
        <v>893300</v>
      </c>
      <c r="C410" s="252">
        <v>156643</v>
      </c>
      <c r="D410" s="252">
        <v>736657</v>
      </c>
      <c r="E410" s="253">
        <v>2621</v>
      </c>
      <c r="F410" s="253">
        <v>890679</v>
      </c>
      <c r="G410" s="186"/>
    </row>
    <row r="411" spans="1:7">
      <c r="A411" s="238" t="s">
        <v>523</v>
      </c>
      <c r="B411" s="252" t="s">
        <v>523</v>
      </c>
      <c r="C411" s="252" t="s">
        <v>523</v>
      </c>
      <c r="D411" s="253" t="s">
        <v>523</v>
      </c>
      <c r="E411" s="253" t="s">
        <v>523</v>
      </c>
      <c r="F411" s="253" t="s">
        <v>523</v>
      </c>
      <c r="G411" s="186"/>
    </row>
    <row r="412" spans="1:7">
      <c r="A412" s="233" t="s">
        <v>57</v>
      </c>
      <c r="B412" s="250">
        <v>387055</v>
      </c>
      <c r="C412" s="250">
        <v>118370</v>
      </c>
      <c r="D412" s="250">
        <v>268685</v>
      </c>
      <c r="E412" s="251">
        <v>313</v>
      </c>
      <c r="F412" s="251">
        <v>386742</v>
      </c>
      <c r="G412" s="186"/>
    </row>
    <row r="413" spans="1:7">
      <c r="A413" s="234" t="s">
        <v>142</v>
      </c>
      <c r="B413" s="252">
        <v>75644</v>
      </c>
      <c r="C413" s="252">
        <v>15962</v>
      </c>
      <c r="D413" s="252">
        <v>59682</v>
      </c>
      <c r="E413" s="253">
        <v>171</v>
      </c>
      <c r="F413" s="253">
        <v>75473</v>
      </c>
      <c r="G413" s="186"/>
    </row>
    <row r="414" spans="1:7">
      <c r="A414" s="234" t="s">
        <v>296</v>
      </c>
      <c r="B414" s="252">
        <v>50897</v>
      </c>
      <c r="C414" s="252">
        <v>15714</v>
      </c>
      <c r="D414" s="252">
        <v>35183</v>
      </c>
      <c r="E414" s="253">
        <v>0</v>
      </c>
      <c r="F414" s="253">
        <v>50897</v>
      </c>
      <c r="G414" s="186"/>
    </row>
    <row r="415" spans="1:7">
      <c r="A415" s="234" t="s">
        <v>627</v>
      </c>
      <c r="B415" s="252">
        <v>260514</v>
      </c>
      <c r="C415" s="252">
        <v>86694</v>
      </c>
      <c r="D415" s="252">
        <v>173820</v>
      </c>
      <c r="E415" s="253">
        <v>142</v>
      </c>
      <c r="F415" s="253">
        <v>260372</v>
      </c>
      <c r="G415" s="186"/>
    </row>
    <row r="416" spans="1:7">
      <c r="A416" s="239" t="s">
        <v>523</v>
      </c>
      <c r="B416" s="252" t="s">
        <v>523</v>
      </c>
      <c r="C416" s="252" t="s">
        <v>523</v>
      </c>
      <c r="D416" s="253" t="s">
        <v>523</v>
      </c>
      <c r="E416" s="253" t="s">
        <v>523</v>
      </c>
      <c r="F416" s="253" t="s">
        <v>523</v>
      </c>
      <c r="G416" s="186"/>
    </row>
    <row r="417" spans="1:7">
      <c r="A417" s="233" t="s">
        <v>58</v>
      </c>
      <c r="B417" s="250">
        <v>1466494</v>
      </c>
      <c r="C417" s="250">
        <v>146360</v>
      </c>
      <c r="D417" s="250">
        <v>1320134</v>
      </c>
      <c r="E417" s="251">
        <v>2772</v>
      </c>
      <c r="F417" s="251">
        <v>1463722</v>
      </c>
      <c r="G417" s="186" t="s">
        <v>631</v>
      </c>
    </row>
    <row r="418" spans="1:7">
      <c r="A418" s="234" t="s">
        <v>295</v>
      </c>
      <c r="B418" s="252">
        <v>2055</v>
      </c>
      <c r="C418" s="252">
        <v>50</v>
      </c>
      <c r="D418" s="252">
        <v>2005</v>
      </c>
      <c r="E418" s="253">
        <v>0</v>
      </c>
      <c r="F418" s="253">
        <v>2055</v>
      </c>
      <c r="G418" s="186"/>
    </row>
    <row r="419" spans="1:7">
      <c r="A419" s="234" t="s">
        <v>294</v>
      </c>
      <c r="B419" s="252">
        <v>17979</v>
      </c>
      <c r="C419" s="252">
        <v>512</v>
      </c>
      <c r="D419" s="252">
        <v>17467</v>
      </c>
      <c r="E419" s="253">
        <v>0</v>
      </c>
      <c r="F419" s="253">
        <v>17979</v>
      </c>
      <c r="G419" s="186"/>
    </row>
    <row r="420" spans="1:7">
      <c r="A420" s="234" t="s">
        <v>59</v>
      </c>
      <c r="B420" s="252">
        <v>95139</v>
      </c>
      <c r="C420" s="252">
        <v>10747</v>
      </c>
      <c r="D420" s="252">
        <v>84392</v>
      </c>
      <c r="E420" s="253">
        <v>0</v>
      </c>
      <c r="F420" s="253">
        <v>95139</v>
      </c>
      <c r="G420" s="186"/>
    </row>
    <row r="421" spans="1:7">
      <c r="A421" s="234" t="s">
        <v>60</v>
      </c>
      <c r="B421" s="252">
        <v>78495</v>
      </c>
      <c r="C421" s="252">
        <v>10278</v>
      </c>
      <c r="D421" s="252">
        <v>68217</v>
      </c>
      <c r="E421" s="253">
        <v>0</v>
      </c>
      <c r="F421" s="253">
        <v>78495</v>
      </c>
      <c r="G421" s="186"/>
    </row>
    <row r="422" spans="1:7">
      <c r="A422" s="234" t="s">
        <v>293</v>
      </c>
      <c r="B422" s="252">
        <v>600</v>
      </c>
      <c r="C422" s="252">
        <v>-1</v>
      </c>
      <c r="D422" s="252">
        <v>601</v>
      </c>
      <c r="E422" s="253">
        <v>0</v>
      </c>
      <c r="F422" s="253">
        <v>600</v>
      </c>
      <c r="G422" s="186"/>
    </row>
    <row r="423" spans="1:7">
      <c r="A423" s="234" t="s">
        <v>292</v>
      </c>
      <c r="B423" s="252">
        <v>138</v>
      </c>
      <c r="C423" s="252">
        <v>3</v>
      </c>
      <c r="D423" s="252">
        <v>135</v>
      </c>
      <c r="E423" s="253">
        <v>0</v>
      </c>
      <c r="F423" s="253">
        <v>138</v>
      </c>
      <c r="G423" s="186"/>
    </row>
    <row r="424" spans="1:7">
      <c r="A424" s="234" t="s">
        <v>61</v>
      </c>
      <c r="B424" s="252">
        <v>67168</v>
      </c>
      <c r="C424" s="252">
        <v>6646</v>
      </c>
      <c r="D424" s="252">
        <v>60522</v>
      </c>
      <c r="E424" s="253">
        <v>0</v>
      </c>
      <c r="F424" s="253">
        <v>67168</v>
      </c>
      <c r="G424" s="186"/>
    </row>
    <row r="425" spans="1:7">
      <c r="A425" s="234" t="s">
        <v>291</v>
      </c>
      <c r="B425" s="252">
        <v>235</v>
      </c>
      <c r="C425" s="252">
        <v>16</v>
      </c>
      <c r="D425" s="252">
        <v>219</v>
      </c>
      <c r="E425" s="253">
        <v>0</v>
      </c>
      <c r="F425" s="253">
        <v>235</v>
      </c>
      <c r="G425" s="186"/>
    </row>
    <row r="426" spans="1:7">
      <c r="A426" s="234" t="s">
        <v>290</v>
      </c>
      <c r="B426" s="252">
        <v>275</v>
      </c>
      <c r="C426" s="252">
        <v>23</v>
      </c>
      <c r="D426" s="252">
        <v>252</v>
      </c>
      <c r="E426" s="253">
        <v>0</v>
      </c>
      <c r="F426" s="253">
        <v>275</v>
      </c>
      <c r="G426" s="186"/>
    </row>
    <row r="427" spans="1:7">
      <c r="A427" s="234" t="s">
        <v>289</v>
      </c>
      <c r="B427" s="252">
        <v>39945</v>
      </c>
      <c r="C427" s="252">
        <v>2372</v>
      </c>
      <c r="D427" s="252">
        <v>37573</v>
      </c>
      <c r="E427" s="253">
        <v>0</v>
      </c>
      <c r="F427" s="253">
        <v>39945</v>
      </c>
      <c r="G427" s="186"/>
    </row>
    <row r="428" spans="1:7">
      <c r="A428" s="234" t="s">
        <v>288</v>
      </c>
      <c r="B428" s="252">
        <v>1032</v>
      </c>
      <c r="C428" s="252">
        <v>246</v>
      </c>
      <c r="D428" s="252">
        <v>786</v>
      </c>
      <c r="E428" s="253">
        <v>0</v>
      </c>
      <c r="F428" s="253">
        <v>1032</v>
      </c>
      <c r="G428" s="186"/>
    </row>
    <row r="429" spans="1:7">
      <c r="A429" s="234" t="s">
        <v>287</v>
      </c>
      <c r="B429" s="252">
        <v>2090</v>
      </c>
      <c r="C429" s="252">
        <v>217</v>
      </c>
      <c r="D429" s="252">
        <v>1873</v>
      </c>
      <c r="E429" s="253">
        <v>0</v>
      </c>
      <c r="F429" s="253">
        <v>2090</v>
      </c>
      <c r="G429" s="186"/>
    </row>
    <row r="430" spans="1:7">
      <c r="A430" s="234" t="s">
        <v>286</v>
      </c>
      <c r="B430" s="252">
        <v>3657</v>
      </c>
      <c r="C430" s="252">
        <v>118</v>
      </c>
      <c r="D430" s="252">
        <v>3539</v>
      </c>
      <c r="E430" s="253">
        <v>0</v>
      </c>
      <c r="F430" s="253">
        <v>3657</v>
      </c>
      <c r="G430" s="186"/>
    </row>
    <row r="431" spans="1:7">
      <c r="A431" s="234" t="s">
        <v>285</v>
      </c>
      <c r="B431" s="252">
        <v>2828</v>
      </c>
      <c r="C431" s="252">
        <v>240</v>
      </c>
      <c r="D431" s="252">
        <v>2588</v>
      </c>
      <c r="E431" s="253">
        <v>0</v>
      </c>
      <c r="F431" s="253">
        <v>2828</v>
      </c>
      <c r="G431" s="186"/>
    </row>
    <row r="432" spans="1:7">
      <c r="A432" s="234" t="s">
        <v>284</v>
      </c>
      <c r="B432" s="252">
        <v>3463</v>
      </c>
      <c r="C432" s="252">
        <v>287</v>
      </c>
      <c r="D432" s="252">
        <v>3176</v>
      </c>
      <c r="E432" s="253">
        <v>0</v>
      </c>
      <c r="F432" s="253">
        <v>3463</v>
      </c>
      <c r="G432" s="186"/>
    </row>
    <row r="433" spans="1:7">
      <c r="A433" s="234" t="s">
        <v>283</v>
      </c>
      <c r="B433" s="252">
        <v>63188</v>
      </c>
      <c r="C433" s="252">
        <v>8032</v>
      </c>
      <c r="D433" s="252">
        <v>55156</v>
      </c>
      <c r="E433" s="253">
        <v>0</v>
      </c>
      <c r="F433" s="253">
        <v>63188</v>
      </c>
      <c r="G433" s="186"/>
    </row>
    <row r="434" spans="1:7">
      <c r="A434" s="234" t="s">
        <v>282</v>
      </c>
      <c r="B434" s="252">
        <v>414</v>
      </c>
      <c r="C434" s="252">
        <v>14</v>
      </c>
      <c r="D434" s="252">
        <v>400</v>
      </c>
      <c r="E434" s="253">
        <v>0</v>
      </c>
      <c r="F434" s="253">
        <v>414</v>
      </c>
      <c r="G434" s="186"/>
    </row>
    <row r="435" spans="1:7">
      <c r="A435" s="234" t="s">
        <v>281</v>
      </c>
      <c r="B435" s="252">
        <v>3426</v>
      </c>
      <c r="C435" s="252">
        <v>50</v>
      </c>
      <c r="D435" s="252">
        <v>3376</v>
      </c>
      <c r="E435" s="253">
        <v>0</v>
      </c>
      <c r="F435" s="253">
        <v>3426</v>
      </c>
      <c r="G435" s="186"/>
    </row>
    <row r="436" spans="1:7">
      <c r="A436" s="234" t="s">
        <v>280</v>
      </c>
      <c r="B436" s="252">
        <v>8912</v>
      </c>
      <c r="C436" s="252">
        <v>757</v>
      </c>
      <c r="D436" s="252">
        <v>8155</v>
      </c>
      <c r="E436" s="253">
        <v>0</v>
      </c>
      <c r="F436" s="253">
        <v>8912</v>
      </c>
      <c r="G436" s="186"/>
    </row>
    <row r="437" spans="1:7">
      <c r="A437" s="234" t="s">
        <v>279</v>
      </c>
      <c r="B437" s="252">
        <v>38875</v>
      </c>
      <c r="C437" s="252">
        <v>3965</v>
      </c>
      <c r="D437" s="252">
        <v>34910</v>
      </c>
      <c r="E437" s="253">
        <v>0</v>
      </c>
      <c r="F437" s="253">
        <v>38875</v>
      </c>
      <c r="G437" s="186"/>
    </row>
    <row r="438" spans="1:7">
      <c r="A438" s="234" t="s">
        <v>278</v>
      </c>
      <c r="B438" s="252">
        <v>12081</v>
      </c>
      <c r="C438" s="252">
        <v>1658</v>
      </c>
      <c r="D438" s="252">
        <v>10423</v>
      </c>
      <c r="E438" s="253">
        <v>19</v>
      </c>
      <c r="F438" s="253">
        <v>12062</v>
      </c>
      <c r="G438" s="186"/>
    </row>
    <row r="439" spans="1:7">
      <c r="A439" s="234" t="s">
        <v>277</v>
      </c>
      <c r="B439" s="252">
        <v>3426</v>
      </c>
      <c r="C439" s="252">
        <v>246</v>
      </c>
      <c r="D439" s="252">
        <v>3180</v>
      </c>
      <c r="E439" s="253">
        <v>0</v>
      </c>
      <c r="F439" s="253">
        <v>3426</v>
      </c>
      <c r="G439" s="186"/>
    </row>
    <row r="440" spans="1:7">
      <c r="A440" s="234" t="s">
        <v>276</v>
      </c>
      <c r="B440" s="252">
        <v>428</v>
      </c>
      <c r="C440" s="252">
        <v>22</v>
      </c>
      <c r="D440" s="252">
        <v>406</v>
      </c>
      <c r="E440" s="253">
        <v>0</v>
      </c>
      <c r="F440" s="253">
        <v>428</v>
      </c>
      <c r="G440" s="186"/>
    </row>
    <row r="441" spans="1:7">
      <c r="A441" s="234" t="s">
        <v>275</v>
      </c>
      <c r="B441" s="252">
        <v>2050</v>
      </c>
      <c r="C441" s="252">
        <v>162</v>
      </c>
      <c r="D441" s="252">
        <v>1888</v>
      </c>
      <c r="E441" s="253">
        <v>0</v>
      </c>
      <c r="F441" s="253">
        <v>2050</v>
      </c>
      <c r="G441" s="186"/>
    </row>
    <row r="442" spans="1:7">
      <c r="A442" s="234" t="s">
        <v>274</v>
      </c>
      <c r="B442" s="252">
        <v>12813</v>
      </c>
      <c r="C442" s="252">
        <v>798</v>
      </c>
      <c r="D442" s="252">
        <v>12015</v>
      </c>
      <c r="E442" s="253">
        <v>0</v>
      </c>
      <c r="F442" s="253">
        <v>12813</v>
      </c>
      <c r="G442" s="186"/>
    </row>
    <row r="443" spans="1:7">
      <c r="A443" s="234" t="s">
        <v>273</v>
      </c>
      <c r="B443" s="252">
        <v>1854</v>
      </c>
      <c r="C443" s="252">
        <v>68</v>
      </c>
      <c r="D443" s="252">
        <v>1786</v>
      </c>
      <c r="E443" s="253">
        <v>0</v>
      </c>
      <c r="F443" s="253">
        <v>1854</v>
      </c>
      <c r="G443" s="186"/>
    </row>
    <row r="444" spans="1:7">
      <c r="A444" s="234" t="s">
        <v>272</v>
      </c>
      <c r="B444" s="252">
        <v>5847</v>
      </c>
      <c r="C444" s="252">
        <v>198</v>
      </c>
      <c r="D444" s="252">
        <v>5649</v>
      </c>
      <c r="E444" s="253">
        <v>338</v>
      </c>
      <c r="F444" s="253">
        <v>5509</v>
      </c>
      <c r="G444" s="186"/>
    </row>
    <row r="445" spans="1:7">
      <c r="A445" s="246" t="s">
        <v>519</v>
      </c>
      <c r="B445" s="252">
        <v>8409</v>
      </c>
      <c r="C445" s="252">
        <v>248</v>
      </c>
      <c r="D445" s="252">
        <v>8161</v>
      </c>
      <c r="E445" s="253">
        <v>0</v>
      </c>
      <c r="F445" s="253">
        <v>8409</v>
      </c>
      <c r="G445" s="186"/>
    </row>
    <row r="446" spans="1:7">
      <c r="A446" s="246" t="s">
        <v>271</v>
      </c>
      <c r="B446" s="252">
        <v>56709</v>
      </c>
      <c r="C446" s="252">
        <v>8269</v>
      </c>
      <c r="D446" s="253">
        <v>48440</v>
      </c>
      <c r="E446" s="253">
        <v>0</v>
      </c>
      <c r="F446" s="253">
        <v>56709</v>
      </c>
      <c r="G446" s="186"/>
    </row>
    <row r="447" spans="1:7">
      <c r="A447" s="234" t="s">
        <v>270</v>
      </c>
      <c r="B447" s="252">
        <v>1251</v>
      </c>
      <c r="C447" s="252">
        <v>109</v>
      </c>
      <c r="D447" s="252">
        <v>1142</v>
      </c>
      <c r="E447" s="253">
        <v>0</v>
      </c>
      <c r="F447" s="253">
        <v>1251</v>
      </c>
      <c r="G447" s="186"/>
    </row>
    <row r="448" spans="1:7">
      <c r="A448" s="234" t="s">
        <v>269</v>
      </c>
      <c r="B448" s="252">
        <v>23867</v>
      </c>
      <c r="C448" s="252">
        <v>4939</v>
      </c>
      <c r="D448" s="252">
        <v>18928</v>
      </c>
      <c r="E448" s="253">
        <v>0</v>
      </c>
      <c r="F448" s="253">
        <v>23867</v>
      </c>
      <c r="G448" s="186"/>
    </row>
    <row r="449" spans="1:7">
      <c r="A449" s="234" t="s">
        <v>268</v>
      </c>
      <c r="B449" s="252">
        <v>36057</v>
      </c>
      <c r="C449" s="252">
        <v>3569</v>
      </c>
      <c r="D449" s="252">
        <v>32488</v>
      </c>
      <c r="E449" s="253">
        <v>0</v>
      </c>
      <c r="F449" s="253">
        <v>36057</v>
      </c>
      <c r="G449" s="186"/>
    </row>
    <row r="450" spans="1:7">
      <c r="A450" s="234" t="s">
        <v>267</v>
      </c>
      <c r="B450" s="252">
        <v>39801</v>
      </c>
      <c r="C450" s="252">
        <v>5661</v>
      </c>
      <c r="D450" s="252">
        <v>34140</v>
      </c>
      <c r="E450" s="253">
        <v>0</v>
      </c>
      <c r="F450" s="253">
        <v>39801</v>
      </c>
      <c r="G450" s="186"/>
    </row>
    <row r="451" spans="1:7">
      <c r="A451" s="234" t="s">
        <v>266</v>
      </c>
      <c r="B451" s="252">
        <v>5271</v>
      </c>
      <c r="C451" s="252">
        <v>395</v>
      </c>
      <c r="D451" s="252">
        <v>4876</v>
      </c>
      <c r="E451" s="253">
        <v>1909</v>
      </c>
      <c r="F451" s="253">
        <v>3362</v>
      </c>
      <c r="G451" s="186"/>
    </row>
    <row r="452" spans="1:7">
      <c r="A452" s="246" t="s">
        <v>265</v>
      </c>
      <c r="B452" s="252">
        <v>1460</v>
      </c>
      <c r="C452" s="252">
        <v>102</v>
      </c>
      <c r="D452" s="252">
        <v>1358</v>
      </c>
      <c r="E452" s="253">
        <v>0</v>
      </c>
      <c r="F452" s="253">
        <v>1460</v>
      </c>
      <c r="G452" s="186"/>
    </row>
    <row r="453" spans="1:7">
      <c r="A453" s="234" t="s">
        <v>264</v>
      </c>
      <c r="B453" s="252">
        <v>5874</v>
      </c>
      <c r="C453" s="252">
        <v>245</v>
      </c>
      <c r="D453" s="252">
        <v>5629</v>
      </c>
      <c r="E453" s="253">
        <v>0</v>
      </c>
      <c r="F453" s="253">
        <v>5874</v>
      </c>
      <c r="G453" s="186"/>
    </row>
    <row r="454" spans="1:7">
      <c r="A454" s="234" t="s">
        <v>263</v>
      </c>
      <c r="B454" s="252">
        <v>62650</v>
      </c>
      <c r="C454" s="252">
        <v>6142</v>
      </c>
      <c r="D454" s="252">
        <v>56508</v>
      </c>
      <c r="E454" s="253">
        <v>0</v>
      </c>
      <c r="F454" s="253">
        <v>62650</v>
      </c>
      <c r="G454" s="186"/>
    </row>
    <row r="455" spans="1:7">
      <c r="A455" s="246" t="s">
        <v>635</v>
      </c>
      <c r="B455" s="252">
        <v>951</v>
      </c>
      <c r="C455" s="252">
        <v>951</v>
      </c>
      <c r="D455" s="252">
        <v>0</v>
      </c>
      <c r="E455" s="253">
        <v>0</v>
      </c>
      <c r="F455" s="253">
        <v>951</v>
      </c>
      <c r="G455" s="186"/>
    </row>
    <row r="456" spans="1:7">
      <c r="A456" s="246" t="s">
        <v>62</v>
      </c>
      <c r="B456" s="252">
        <v>116781</v>
      </c>
      <c r="C456" s="252">
        <v>16438</v>
      </c>
      <c r="D456" s="252">
        <v>100343</v>
      </c>
      <c r="E456" s="253">
        <v>165</v>
      </c>
      <c r="F456" s="253">
        <v>116616</v>
      </c>
      <c r="G456" s="186"/>
    </row>
    <row r="457" spans="1:7">
      <c r="A457" s="234" t="s">
        <v>627</v>
      </c>
      <c r="B457" s="252">
        <v>639000</v>
      </c>
      <c r="C457" s="252">
        <v>51568</v>
      </c>
      <c r="D457" s="252">
        <v>587432</v>
      </c>
      <c r="E457" s="253">
        <v>341</v>
      </c>
      <c r="F457" s="253">
        <v>638659</v>
      </c>
      <c r="G457" s="186" t="s">
        <v>631</v>
      </c>
    </row>
    <row r="458" spans="1:7">
      <c r="A458" s="237" t="s">
        <v>523</v>
      </c>
      <c r="B458" s="252" t="s">
        <v>523</v>
      </c>
      <c r="C458" s="252" t="s">
        <v>523</v>
      </c>
      <c r="D458" s="253" t="s">
        <v>523</v>
      </c>
      <c r="E458" s="253" t="s">
        <v>523</v>
      </c>
      <c r="F458" s="253" t="s">
        <v>523</v>
      </c>
      <c r="G458" s="186"/>
    </row>
    <row r="459" spans="1:7">
      <c r="A459" s="233" t="s">
        <v>63</v>
      </c>
      <c r="B459" s="250">
        <v>542638</v>
      </c>
      <c r="C459" s="250">
        <v>77941</v>
      </c>
      <c r="D459" s="250">
        <v>464697</v>
      </c>
      <c r="E459" s="251">
        <v>680</v>
      </c>
      <c r="F459" s="251">
        <v>541958</v>
      </c>
      <c r="G459" s="186"/>
    </row>
    <row r="460" spans="1:7">
      <c r="A460" s="234" t="s">
        <v>262</v>
      </c>
      <c r="B460" s="252">
        <v>7402</v>
      </c>
      <c r="C460" s="252">
        <v>965</v>
      </c>
      <c r="D460" s="252">
        <v>6437</v>
      </c>
      <c r="E460" s="253">
        <v>0</v>
      </c>
      <c r="F460" s="253">
        <v>7402</v>
      </c>
      <c r="G460" s="186"/>
    </row>
    <row r="461" spans="1:7">
      <c r="A461" s="234" t="s">
        <v>261</v>
      </c>
      <c r="B461" s="252">
        <v>16935</v>
      </c>
      <c r="C461" s="252">
        <v>2024</v>
      </c>
      <c r="D461" s="252">
        <v>14911</v>
      </c>
      <c r="E461" s="253">
        <v>0</v>
      </c>
      <c r="F461" s="253">
        <v>16935</v>
      </c>
      <c r="G461" s="186"/>
    </row>
    <row r="462" spans="1:7">
      <c r="A462" s="234" t="s">
        <v>260</v>
      </c>
      <c r="B462" s="252">
        <v>3047</v>
      </c>
      <c r="C462" s="252">
        <v>376</v>
      </c>
      <c r="D462" s="252">
        <v>2671</v>
      </c>
      <c r="E462" s="253">
        <v>0</v>
      </c>
      <c r="F462" s="253">
        <v>3047</v>
      </c>
      <c r="G462" s="186"/>
    </row>
    <row r="463" spans="1:7">
      <c r="A463" s="234" t="s">
        <v>259</v>
      </c>
      <c r="B463" s="252">
        <v>1380</v>
      </c>
      <c r="C463" s="252">
        <v>40</v>
      </c>
      <c r="D463" s="252">
        <v>1340</v>
      </c>
      <c r="E463" s="253">
        <v>0</v>
      </c>
      <c r="F463" s="253">
        <v>1380</v>
      </c>
      <c r="G463" s="186"/>
    </row>
    <row r="464" spans="1:7">
      <c r="A464" s="234" t="s">
        <v>258</v>
      </c>
      <c r="B464" s="252">
        <v>1343</v>
      </c>
      <c r="C464" s="252">
        <v>205</v>
      </c>
      <c r="D464" s="252">
        <v>1138</v>
      </c>
      <c r="E464" s="253">
        <v>0</v>
      </c>
      <c r="F464" s="253">
        <v>1343</v>
      </c>
      <c r="G464" s="186"/>
    </row>
    <row r="465" spans="1:7">
      <c r="A465" s="234" t="s">
        <v>257</v>
      </c>
      <c r="B465" s="252">
        <v>17092</v>
      </c>
      <c r="C465" s="252">
        <v>3804</v>
      </c>
      <c r="D465" s="252">
        <v>13288</v>
      </c>
      <c r="E465" s="253">
        <v>0</v>
      </c>
      <c r="F465" s="253">
        <v>17092</v>
      </c>
      <c r="G465" s="186"/>
    </row>
    <row r="466" spans="1:7">
      <c r="A466" s="234" t="s">
        <v>627</v>
      </c>
      <c r="B466" s="252">
        <v>495439</v>
      </c>
      <c r="C466" s="252">
        <v>70527</v>
      </c>
      <c r="D466" s="252">
        <v>424912</v>
      </c>
      <c r="E466" s="253">
        <v>680</v>
      </c>
      <c r="F466" s="253">
        <v>494759</v>
      </c>
      <c r="G466" s="186"/>
    </row>
    <row r="467" spans="1:7">
      <c r="A467" s="238" t="s">
        <v>523</v>
      </c>
      <c r="B467" s="252" t="s">
        <v>523</v>
      </c>
      <c r="C467" s="252" t="s">
        <v>523</v>
      </c>
      <c r="D467" s="253" t="s">
        <v>523</v>
      </c>
      <c r="E467" s="253" t="s">
        <v>523</v>
      </c>
      <c r="F467" s="253" t="s">
        <v>523</v>
      </c>
      <c r="G467" s="186"/>
    </row>
    <row r="468" spans="1:7">
      <c r="A468" s="233" t="s">
        <v>64</v>
      </c>
      <c r="B468" s="250">
        <v>984054</v>
      </c>
      <c r="C468" s="250">
        <v>67512</v>
      </c>
      <c r="D468" s="250">
        <v>916542</v>
      </c>
      <c r="E468" s="251">
        <v>868</v>
      </c>
      <c r="F468" s="251">
        <v>983186</v>
      </c>
      <c r="G468" s="186" t="s">
        <v>631</v>
      </c>
    </row>
    <row r="469" spans="1:7">
      <c r="A469" s="234" t="s">
        <v>256</v>
      </c>
      <c r="B469" s="252">
        <v>4095</v>
      </c>
      <c r="C469" s="252">
        <v>226</v>
      </c>
      <c r="D469" s="252">
        <v>3869</v>
      </c>
      <c r="E469" s="253">
        <v>0</v>
      </c>
      <c r="F469" s="253">
        <v>4095</v>
      </c>
      <c r="G469" s="186"/>
    </row>
    <row r="470" spans="1:7">
      <c r="A470" s="234" t="s">
        <v>255</v>
      </c>
      <c r="B470" s="252">
        <v>1625</v>
      </c>
      <c r="C470" s="252">
        <v>65</v>
      </c>
      <c r="D470" s="252">
        <v>1560</v>
      </c>
      <c r="E470" s="253">
        <v>0</v>
      </c>
      <c r="F470" s="253">
        <v>1625</v>
      </c>
      <c r="G470" s="186"/>
    </row>
    <row r="471" spans="1:7">
      <c r="A471" s="234" t="s">
        <v>254</v>
      </c>
      <c r="B471" s="252">
        <v>2104</v>
      </c>
      <c r="C471" s="252">
        <v>73</v>
      </c>
      <c r="D471" s="252">
        <v>2031</v>
      </c>
      <c r="E471" s="253">
        <v>0</v>
      </c>
      <c r="F471" s="253">
        <v>2104</v>
      </c>
      <c r="G471" s="186"/>
    </row>
    <row r="472" spans="1:7">
      <c r="A472" s="234" t="s">
        <v>253</v>
      </c>
      <c r="B472" s="252">
        <v>108</v>
      </c>
      <c r="C472" s="252">
        <v>-1</v>
      </c>
      <c r="D472" s="252">
        <v>109</v>
      </c>
      <c r="E472" s="253">
        <v>0</v>
      </c>
      <c r="F472" s="253">
        <v>108</v>
      </c>
      <c r="G472" s="186"/>
    </row>
    <row r="473" spans="1:7">
      <c r="A473" s="234" t="s">
        <v>65</v>
      </c>
      <c r="B473" s="252">
        <v>118017</v>
      </c>
      <c r="C473" s="252">
        <v>10332</v>
      </c>
      <c r="D473" s="252">
        <v>107685</v>
      </c>
      <c r="E473" s="253">
        <v>0</v>
      </c>
      <c r="F473" s="253">
        <v>118017</v>
      </c>
      <c r="G473" s="186"/>
    </row>
    <row r="474" spans="1:7">
      <c r="A474" s="234" t="s">
        <v>252</v>
      </c>
      <c r="B474" s="252">
        <v>37869</v>
      </c>
      <c r="C474" s="252">
        <v>2548</v>
      </c>
      <c r="D474" s="252">
        <v>35321</v>
      </c>
      <c r="E474" s="253">
        <v>6</v>
      </c>
      <c r="F474" s="253">
        <v>37863</v>
      </c>
      <c r="G474" s="186"/>
    </row>
    <row r="475" spans="1:7">
      <c r="A475" s="234" t="s">
        <v>251</v>
      </c>
      <c r="B475" s="252">
        <v>12598</v>
      </c>
      <c r="C475" s="252">
        <v>569</v>
      </c>
      <c r="D475" s="252">
        <v>12029</v>
      </c>
      <c r="E475" s="253">
        <v>0</v>
      </c>
      <c r="F475" s="253">
        <v>12598</v>
      </c>
      <c r="G475" s="186"/>
    </row>
    <row r="476" spans="1:7">
      <c r="A476" s="234" t="s">
        <v>250</v>
      </c>
      <c r="B476" s="252">
        <v>4158</v>
      </c>
      <c r="C476" s="252">
        <v>45</v>
      </c>
      <c r="D476" s="252">
        <v>4113</v>
      </c>
      <c r="E476" s="253">
        <v>0</v>
      </c>
      <c r="F476" s="253">
        <v>4158</v>
      </c>
      <c r="G476" s="186"/>
    </row>
    <row r="477" spans="1:7">
      <c r="A477" s="234" t="s">
        <v>249</v>
      </c>
      <c r="B477" s="252">
        <v>1479</v>
      </c>
      <c r="C477" s="252">
        <v>59</v>
      </c>
      <c r="D477" s="252">
        <v>1420</v>
      </c>
      <c r="E477" s="253">
        <v>0</v>
      </c>
      <c r="F477" s="253">
        <v>1479</v>
      </c>
      <c r="G477" s="186"/>
    </row>
    <row r="478" spans="1:7">
      <c r="A478" s="234" t="s">
        <v>248</v>
      </c>
      <c r="B478" s="252">
        <v>5145</v>
      </c>
      <c r="C478" s="252">
        <v>165</v>
      </c>
      <c r="D478" s="252">
        <v>4980</v>
      </c>
      <c r="E478" s="253">
        <v>0</v>
      </c>
      <c r="F478" s="253">
        <v>5145</v>
      </c>
      <c r="G478" s="186"/>
    </row>
    <row r="479" spans="1:7">
      <c r="A479" s="234" t="s">
        <v>66</v>
      </c>
      <c r="B479" s="252">
        <v>84574</v>
      </c>
      <c r="C479" s="252">
        <v>6926</v>
      </c>
      <c r="D479" s="252">
        <v>77648</v>
      </c>
      <c r="E479" s="253">
        <v>0</v>
      </c>
      <c r="F479" s="253">
        <v>84574</v>
      </c>
      <c r="G479" s="186"/>
    </row>
    <row r="480" spans="1:7">
      <c r="A480" s="234" t="s">
        <v>247</v>
      </c>
      <c r="B480" s="252">
        <v>4447</v>
      </c>
      <c r="C480" s="252">
        <v>184</v>
      </c>
      <c r="D480" s="252">
        <v>4263</v>
      </c>
      <c r="E480" s="253">
        <v>0</v>
      </c>
      <c r="F480" s="253">
        <v>4447</v>
      </c>
      <c r="G480" s="186"/>
    </row>
    <row r="481" spans="1:7">
      <c r="A481" s="234" t="s">
        <v>246</v>
      </c>
      <c r="B481" s="252">
        <v>1531</v>
      </c>
      <c r="C481" s="252">
        <v>114</v>
      </c>
      <c r="D481" s="252">
        <v>1417</v>
      </c>
      <c r="E481" s="253">
        <v>0</v>
      </c>
      <c r="F481" s="253">
        <v>1531</v>
      </c>
      <c r="G481" s="186"/>
    </row>
    <row r="482" spans="1:7">
      <c r="A482" s="234" t="s">
        <v>245</v>
      </c>
      <c r="B482" s="252">
        <v>14998</v>
      </c>
      <c r="C482" s="252">
        <v>1407</v>
      </c>
      <c r="D482" s="252">
        <v>13591</v>
      </c>
      <c r="E482" s="253">
        <v>0</v>
      </c>
      <c r="F482" s="253">
        <v>14998</v>
      </c>
      <c r="G482" s="186"/>
    </row>
    <row r="483" spans="1:7">
      <c r="A483" s="234" t="s">
        <v>244</v>
      </c>
      <c r="B483" s="252">
        <v>54202</v>
      </c>
      <c r="C483" s="252">
        <v>5123</v>
      </c>
      <c r="D483" s="252">
        <v>49079</v>
      </c>
      <c r="E483" s="253">
        <v>0</v>
      </c>
      <c r="F483" s="253">
        <v>54202</v>
      </c>
      <c r="G483" s="186"/>
    </row>
    <row r="484" spans="1:7">
      <c r="A484" s="234" t="s">
        <v>243</v>
      </c>
      <c r="B484" s="252">
        <v>1507</v>
      </c>
      <c r="C484" s="252">
        <v>80</v>
      </c>
      <c r="D484" s="252">
        <v>1427</v>
      </c>
      <c r="E484" s="253">
        <v>0</v>
      </c>
      <c r="F484" s="253">
        <v>1507</v>
      </c>
      <c r="G484" s="186"/>
    </row>
    <row r="485" spans="1:7">
      <c r="A485" s="234" t="s">
        <v>242</v>
      </c>
      <c r="B485" s="252">
        <v>2182</v>
      </c>
      <c r="C485" s="252">
        <v>61</v>
      </c>
      <c r="D485" s="252">
        <v>2121</v>
      </c>
      <c r="E485" s="253">
        <v>0</v>
      </c>
      <c r="F485" s="253">
        <v>2182</v>
      </c>
      <c r="G485" s="186"/>
    </row>
    <row r="486" spans="1:7">
      <c r="A486" s="234" t="s">
        <v>241</v>
      </c>
      <c r="B486" s="252">
        <v>17696</v>
      </c>
      <c r="C486" s="252">
        <v>812</v>
      </c>
      <c r="D486" s="252">
        <v>16884</v>
      </c>
      <c r="E486" s="253">
        <v>6</v>
      </c>
      <c r="F486" s="253">
        <v>17690</v>
      </c>
      <c r="G486" s="186"/>
    </row>
    <row r="487" spans="1:7">
      <c r="A487" s="234" t="s">
        <v>240</v>
      </c>
      <c r="B487" s="252">
        <v>9531</v>
      </c>
      <c r="C487" s="252">
        <v>185</v>
      </c>
      <c r="D487" s="252">
        <v>9346</v>
      </c>
      <c r="E487" s="253">
        <v>0</v>
      </c>
      <c r="F487" s="253">
        <v>9531</v>
      </c>
      <c r="G487" s="186"/>
    </row>
    <row r="488" spans="1:7">
      <c r="A488" s="234" t="s">
        <v>67</v>
      </c>
      <c r="B488" s="252">
        <v>271044</v>
      </c>
      <c r="C488" s="252">
        <v>26275</v>
      </c>
      <c r="D488" s="252">
        <v>244769</v>
      </c>
      <c r="E488" s="253">
        <v>421</v>
      </c>
      <c r="F488" s="253">
        <v>270623</v>
      </c>
      <c r="G488" s="186"/>
    </row>
    <row r="489" spans="1:7">
      <c r="A489" s="234" t="s">
        <v>157</v>
      </c>
      <c r="B489" s="252">
        <v>19705</v>
      </c>
      <c r="C489" s="252">
        <v>2472</v>
      </c>
      <c r="D489" s="252">
        <v>17233</v>
      </c>
      <c r="E489" s="253">
        <v>0</v>
      </c>
      <c r="F489" s="253">
        <v>19705</v>
      </c>
      <c r="G489" s="186"/>
    </row>
    <row r="490" spans="1:7">
      <c r="A490" s="234" t="s">
        <v>239</v>
      </c>
      <c r="B490" s="252">
        <v>5078</v>
      </c>
      <c r="C490" s="252">
        <v>114</v>
      </c>
      <c r="D490" s="252">
        <v>4964</v>
      </c>
      <c r="E490" s="253">
        <v>0</v>
      </c>
      <c r="F490" s="253">
        <v>5078</v>
      </c>
      <c r="G490" s="186"/>
    </row>
    <row r="491" spans="1:7">
      <c r="A491" s="234" t="s">
        <v>238</v>
      </c>
      <c r="B491" s="252">
        <v>25937</v>
      </c>
      <c r="C491" s="252">
        <v>2453</v>
      </c>
      <c r="D491" s="252">
        <v>23484</v>
      </c>
      <c r="E491" s="253">
        <v>0</v>
      </c>
      <c r="F491" s="253">
        <v>25937</v>
      </c>
      <c r="G491" s="186"/>
    </row>
    <row r="492" spans="1:7">
      <c r="A492" s="234" t="s">
        <v>237</v>
      </c>
      <c r="B492" s="252">
        <v>6930</v>
      </c>
      <c r="C492" s="252">
        <v>225</v>
      </c>
      <c r="D492" s="252">
        <v>6705</v>
      </c>
      <c r="E492" s="253">
        <v>0</v>
      </c>
      <c r="F492" s="253">
        <v>6930</v>
      </c>
      <c r="G492" s="186"/>
    </row>
    <row r="493" spans="1:7">
      <c r="A493" s="234" t="s">
        <v>627</v>
      </c>
      <c r="B493" s="252">
        <v>277494</v>
      </c>
      <c r="C493" s="252">
        <v>7000</v>
      </c>
      <c r="D493" s="252">
        <v>270494</v>
      </c>
      <c r="E493" s="253">
        <v>435</v>
      </c>
      <c r="F493" s="253">
        <v>277059</v>
      </c>
      <c r="G493" s="186" t="s">
        <v>631</v>
      </c>
    </row>
    <row r="494" spans="1:7">
      <c r="A494" s="235" t="s">
        <v>523</v>
      </c>
      <c r="B494" s="252" t="s">
        <v>523</v>
      </c>
      <c r="C494" s="252" t="s">
        <v>523</v>
      </c>
      <c r="D494" s="253" t="s">
        <v>523</v>
      </c>
      <c r="E494" s="253" t="s">
        <v>523</v>
      </c>
      <c r="F494" s="253" t="s">
        <v>523</v>
      </c>
      <c r="G494" s="186"/>
    </row>
    <row r="495" spans="1:7">
      <c r="A495" s="233" t="s">
        <v>68</v>
      </c>
      <c r="B495" s="250">
        <v>715090</v>
      </c>
      <c r="C495" s="250">
        <v>112995</v>
      </c>
      <c r="D495" s="250">
        <v>602095</v>
      </c>
      <c r="E495" s="251">
        <v>3159</v>
      </c>
      <c r="F495" s="251">
        <v>711931</v>
      </c>
      <c r="G495" s="186"/>
    </row>
    <row r="496" spans="1:7">
      <c r="A496" s="234" t="s">
        <v>236</v>
      </c>
      <c r="B496" s="252">
        <v>17120</v>
      </c>
      <c r="C496" s="252">
        <v>3613</v>
      </c>
      <c r="D496" s="252">
        <v>13507</v>
      </c>
      <c r="E496" s="253">
        <v>0</v>
      </c>
      <c r="F496" s="253">
        <v>17120</v>
      </c>
      <c r="G496" s="186"/>
    </row>
    <row r="497" spans="1:7">
      <c r="A497" s="234" t="s">
        <v>235</v>
      </c>
      <c r="B497" s="252">
        <v>20757</v>
      </c>
      <c r="C497" s="252">
        <v>3459</v>
      </c>
      <c r="D497" s="252">
        <v>17298</v>
      </c>
      <c r="E497" s="253">
        <v>156</v>
      </c>
      <c r="F497" s="253">
        <v>20601</v>
      </c>
      <c r="G497" s="186"/>
    </row>
    <row r="498" spans="1:7">
      <c r="A498" s="234" t="s">
        <v>234</v>
      </c>
      <c r="B498" s="252">
        <v>7323</v>
      </c>
      <c r="C498" s="252">
        <v>4435</v>
      </c>
      <c r="D498" s="252">
        <v>2888</v>
      </c>
      <c r="E498" s="253">
        <v>0</v>
      </c>
      <c r="F498" s="253">
        <v>7323</v>
      </c>
      <c r="G498" s="186"/>
    </row>
    <row r="499" spans="1:7">
      <c r="A499" s="234" t="s">
        <v>233</v>
      </c>
      <c r="B499" s="252">
        <v>5159</v>
      </c>
      <c r="C499" s="252">
        <v>1442</v>
      </c>
      <c r="D499" s="252">
        <v>3717</v>
      </c>
      <c r="E499" s="253">
        <v>0</v>
      </c>
      <c r="F499" s="253">
        <v>5159</v>
      </c>
      <c r="G499" s="186"/>
    </row>
    <row r="500" spans="1:7">
      <c r="A500" s="234" t="s">
        <v>232</v>
      </c>
      <c r="B500" s="252">
        <v>2785</v>
      </c>
      <c r="C500" s="252">
        <v>530</v>
      </c>
      <c r="D500" s="252">
        <v>2255</v>
      </c>
      <c r="E500" s="253">
        <v>0</v>
      </c>
      <c r="F500" s="253">
        <v>2785</v>
      </c>
      <c r="G500" s="186"/>
    </row>
    <row r="501" spans="1:7">
      <c r="A501" s="234" t="s">
        <v>606</v>
      </c>
      <c r="B501" s="252">
        <v>5833</v>
      </c>
      <c r="C501" s="252">
        <v>207</v>
      </c>
      <c r="D501" s="252">
        <v>5626</v>
      </c>
      <c r="E501" s="253">
        <v>0</v>
      </c>
      <c r="F501" s="253">
        <v>5833</v>
      </c>
      <c r="G501" s="186"/>
    </row>
    <row r="502" spans="1:7">
      <c r="A502" s="234" t="s">
        <v>231</v>
      </c>
      <c r="B502" s="252">
        <v>3454</v>
      </c>
      <c r="C502" s="252">
        <v>462</v>
      </c>
      <c r="D502" s="252">
        <v>2992</v>
      </c>
      <c r="E502" s="253">
        <v>0</v>
      </c>
      <c r="F502" s="253">
        <v>3454</v>
      </c>
      <c r="G502" s="186"/>
    </row>
    <row r="503" spans="1:7">
      <c r="A503" s="246" t="s">
        <v>230</v>
      </c>
      <c r="B503" s="252">
        <v>27268</v>
      </c>
      <c r="C503" s="252">
        <v>6708</v>
      </c>
      <c r="D503" s="252">
        <v>20560</v>
      </c>
      <c r="E503" s="253">
        <v>0</v>
      </c>
      <c r="F503" s="253">
        <v>27268</v>
      </c>
      <c r="G503" s="186"/>
    </row>
    <row r="504" spans="1:7">
      <c r="A504" s="234" t="s">
        <v>229</v>
      </c>
      <c r="B504" s="252">
        <v>266</v>
      </c>
      <c r="C504" s="252">
        <v>36</v>
      </c>
      <c r="D504" s="252">
        <v>230</v>
      </c>
      <c r="E504" s="253">
        <v>0</v>
      </c>
      <c r="F504" s="253">
        <v>266</v>
      </c>
      <c r="G504" s="186"/>
    </row>
    <row r="505" spans="1:7">
      <c r="A505" s="234" t="s">
        <v>228</v>
      </c>
      <c r="B505" s="252">
        <v>243</v>
      </c>
      <c r="C505" s="252">
        <v>-11</v>
      </c>
      <c r="D505" s="252">
        <v>254</v>
      </c>
      <c r="E505" s="253">
        <v>0</v>
      </c>
      <c r="F505" s="253">
        <v>243</v>
      </c>
      <c r="G505" s="186"/>
    </row>
    <row r="506" spans="1:7">
      <c r="A506" s="234" t="s">
        <v>227</v>
      </c>
      <c r="B506" s="252">
        <v>6351</v>
      </c>
      <c r="C506" s="252">
        <v>1336</v>
      </c>
      <c r="D506" s="252">
        <v>5015</v>
      </c>
      <c r="E506" s="253">
        <v>0</v>
      </c>
      <c r="F506" s="253">
        <v>6351</v>
      </c>
      <c r="G506" s="186"/>
    </row>
    <row r="507" spans="1:7">
      <c r="A507" s="234" t="s">
        <v>226</v>
      </c>
      <c r="B507" s="252">
        <v>1556</v>
      </c>
      <c r="C507" s="252">
        <v>325</v>
      </c>
      <c r="D507" s="252">
        <v>1231</v>
      </c>
      <c r="E507" s="253">
        <v>0</v>
      </c>
      <c r="F507" s="253">
        <v>1556</v>
      </c>
      <c r="G507" s="186"/>
    </row>
    <row r="508" spans="1:7">
      <c r="A508" s="234" t="s">
        <v>69</v>
      </c>
      <c r="B508" s="252">
        <v>109238</v>
      </c>
      <c r="C508" s="252">
        <v>11816</v>
      </c>
      <c r="D508" s="252">
        <v>97422</v>
      </c>
      <c r="E508" s="253">
        <v>0</v>
      </c>
      <c r="F508" s="253">
        <v>109238</v>
      </c>
      <c r="G508" s="186"/>
    </row>
    <row r="509" spans="1:7">
      <c r="A509" s="234" t="s">
        <v>225</v>
      </c>
      <c r="B509" s="252">
        <v>16386</v>
      </c>
      <c r="C509" s="252">
        <v>2161</v>
      </c>
      <c r="D509" s="252">
        <v>14225</v>
      </c>
      <c r="E509" s="253">
        <v>0</v>
      </c>
      <c r="F509" s="253">
        <v>16386</v>
      </c>
      <c r="G509" s="186"/>
    </row>
    <row r="510" spans="1:7">
      <c r="A510" s="234" t="s">
        <v>224</v>
      </c>
      <c r="B510" s="252">
        <v>4100</v>
      </c>
      <c r="C510" s="252">
        <v>283</v>
      </c>
      <c r="D510" s="252">
        <v>3817</v>
      </c>
      <c r="E510" s="253">
        <v>0</v>
      </c>
      <c r="F510" s="253">
        <v>4100</v>
      </c>
      <c r="G510" s="186"/>
    </row>
    <row r="511" spans="1:7">
      <c r="A511" s="234" t="s">
        <v>223</v>
      </c>
      <c r="B511" s="252">
        <v>2490</v>
      </c>
      <c r="C511" s="252">
        <v>928</v>
      </c>
      <c r="D511" s="252">
        <v>1562</v>
      </c>
      <c r="E511" s="253">
        <v>0</v>
      </c>
      <c r="F511" s="253">
        <v>2490</v>
      </c>
      <c r="G511" s="186"/>
    </row>
    <row r="512" spans="1:7">
      <c r="A512" s="234" t="s">
        <v>143</v>
      </c>
      <c r="B512" s="252">
        <v>47044</v>
      </c>
      <c r="C512" s="252">
        <v>13170</v>
      </c>
      <c r="D512" s="252">
        <v>33874</v>
      </c>
      <c r="E512" s="253">
        <v>0</v>
      </c>
      <c r="F512" s="253">
        <v>47044</v>
      </c>
      <c r="G512" s="186"/>
    </row>
    <row r="513" spans="1:7">
      <c r="A513" s="246" t="s">
        <v>627</v>
      </c>
      <c r="B513" s="252">
        <v>437717</v>
      </c>
      <c r="C513" s="252">
        <v>62095</v>
      </c>
      <c r="D513" s="252">
        <v>375622</v>
      </c>
      <c r="E513" s="253">
        <v>3003</v>
      </c>
      <c r="F513" s="253">
        <v>434714</v>
      </c>
      <c r="G513" s="186"/>
    </row>
    <row r="514" spans="1:7">
      <c r="A514" s="235" t="s">
        <v>523</v>
      </c>
      <c r="B514" s="252" t="s">
        <v>523</v>
      </c>
      <c r="C514" s="252" t="s">
        <v>523</v>
      </c>
      <c r="D514" s="253" t="s">
        <v>523</v>
      </c>
      <c r="E514" s="253" t="s">
        <v>523</v>
      </c>
      <c r="F514" s="253" t="s">
        <v>523</v>
      </c>
      <c r="G514" s="186"/>
    </row>
    <row r="515" spans="1:7">
      <c r="A515" s="233" t="s">
        <v>70</v>
      </c>
      <c r="B515" s="250">
        <v>73723</v>
      </c>
      <c r="C515" s="250">
        <v>-641</v>
      </c>
      <c r="D515" s="250">
        <v>74364</v>
      </c>
      <c r="E515" s="251">
        <v>464</v>
      </c>
      <c r="F515" s="251">
        <v>73259</v>
      </c>
      <c r="G515" s="186"/>
    </row>
    <row r="516" spans="1:7">
      <c r="A516" s="234" t="s">
        <v>222</v>
      </c>
      <c r="B516" s="252">
        <v>1589</v>
      </c>
      <c r="C516" s="252">
        <v>12</v>
      </c>
      <c r="D516" s="252">
        <v>1577</v>
      </c>
      <c r="E516" s="253">
        <v>0</v>
      </c>
      <c r="F516" s="253">
        <v>1589</v>
      </c>
      <c r="G516" s="186"/>
    </row>
    <row r="517" spans="1:7">
      <c r="A517" s="234" t="s">
        <v>221</v>
      </c>
      <c r="B517" s="252">
        <v>1372</v>
      </c>
      <c r="C517" s="252">
        <v>-31</v>
      </c>
      <c r="D517" s="252">
        <v>1403</v>
      </c>
      <c r="E517" s="253">
        <v>0</v>
      </c>
      <c r="F517" s="253">
        <v>1372</v>
      </c>
      <c r="G517" s="186"/>
    </row>
    <row r="518" spans="1:7">
      <c r="A518" s="234" t="s">
        <v>220</v>
      </c>
      <c r="B518" s="252">
        <v>10770</v>
      </c>
      <c r="C518" s="252">
        <v>212</v>
      </c>
      <c r="D518" s="252">
        <v>10558</v>
      </c>
      <c r="E518" s="253">
        <v>0</v>
      </c>
      <c r="F518" s="253">
        <v>10770</v>
      </c>
      <c r="G518" s="186"/>
    </row>
    <row r="519" spans="1:7">
      <c r="A519" s="234" t="s">
        <v>219</v>
      </c>
      <c r="B519" s="252">
        <v>883</v>
      </c>
      <c r="C519" s="252">
        <v>-29</v>
      </c>
      <c r="D519" s="252">
        <v>912</v>
      </c>
      <c r="E519" s="253">
        <v>0</v>
      </c>
      <c r="F519" s="253">
        <v>883</v>
      </c>
      <c r="G519" s="186"/>
    </row>
    <row r="520" spans="1:7">
      <c r="A520" s="234" t="s">
        <v>218</v>
      </c>
      <c r="B520" s="252">
        <v>723</v>
      </c>
      <c r="C520" s="252">
        <v>22</v>
      </c>
      <c r="D520" s="252">
        <v>701</v>
      </c>
      <c r="E520" s="253">
        <v>0</v>
      </c>
      <c r="F520" s="253">
        <v>723</v>
      </c>
      <c r="G520" s="186"/>
    </row>
    <row r="521" spans="1:7">
      <c r="A521" s="234" t="s">
        <v>627</v>
      </c>
      <c r="B521" s="252">
        <v>58386</v>
      </c>
      <c r="C521" s="252">
        <v>-827</v>
      </c>
      <c r="D521" s="252">
        <v>59213</v>
      </c>
      <c r="E521" s="253">
        <v>464</v>
      </c>
      <c r="F521" s="253">
        <v>57922</v>
      </c>
      <c r="G521" s="186"/>
    </row>
    <row r="522" spans="1:7">
      <c r="A522" s="235" t="s">
        <v>523</v>
      </c>
      <c r="B522" s="252" t="s">
        <v>523</v>
      </c>
      <c r="C522" s="252" t="s">
        <v>523</v>
      </c>
      <c r="D522" s="253" t="s">
        <v>523</v>
      </c>
      <c r="E522" s="253" t="s">
        <v>523</v>
      </c>
      <c r="F522" s="253" t="s">
        <v>523</v>
      </c>
      <c r="G522" s="186"/>
    </row>
    <row r="523" spans="1:7">
      <c r="A523" s="233" t="s">
        <v>71</v>
      </c>
      <c r="B523" s="250">
        <v>261900</v>
      </c>
      <c r="C523" s="250">
        <v>71861</v>
      </c>
      <c r="D523" s="250">
        <v>190039</v>
      </c>
      <c r="E523" s="251">
        <v>138</v>
      </c>
      <c r="F523" s="251">
        <v>261762</v>
      </c>
      <c r="G523" s="186"/>
    </row>
    <row r="524" spans="1:7">
      <c r="A524" s="246" t="s">
        <v>636</v>
      </c>
      <c r="B524" s="252">
        <v>0</v>
      </c>
      <c r="C524" s="252">
        <v>-580</v>
      </c>
      <c r="D524" s="252">
        <v>580</v>
      </c>
      <c r="E524" s="253">
        <v>0</v>
      </c>
      <c r="F524" s="253">
        <v>0</v>
      </c>
      <c r="G524" s="186"/>
    </row>
    <row r="525" spans="1:7">
      <c r="A525" s="234" t="s">
        <v>217</v>
      </c>
      <c r="B525" s="252">
        <v>2</v>
      </c>
      <c r="C525" s="252">
        <v>2</v>
      </c>
      <c r="D525" s="252">
        <v>0</v>
      </c>
      <c r="E525" s="253">
        <v>0</v>
      </c>
      <c r="F525" s="253">
        <v>2</v>
      </c>
      <c r="G525" s="186"/>
    </row>
    <row r="526" spans="1:7">
      <c r="A526" s="234" t="s">
        <v>216</v>
      </c>
      <c r="B526" s="252">
        <v>15306</v>
      </c>
      <c r="C526" s="252">
        <v>2331</v>
      </c>
      <c r="D526" s="252">
        <v>12975</v>
      </c>
      <c r="E526" s="253">
        <v>0</v>
      </c>
      <c r="F526" s="253">
        <v>15306</v>
      </c>
      <c r="G526" s="186"/>
    </row>
    <row r="527" spans="1:7">
      <c r="A527" s="234" t="s">
        <v>215</v>
      </c>
      <c r="B527" s="252">
        <v>6852</v>
      </c>
      <c r="C527" s="252">
        <v>676</v>
      </c>
      <c r="D527" s="252">
        <v>6176</v>
      </c>
      <c r="E527" s="253">
        <v>0</v>
      </c>
      <c r="F527" s="253">
        <v>6852</v>
      </c>
      <c r="G527" s="186"/>
    </row>
    <row r="528" spans="1:7">
      <c r="A528" s="234" t="s">
        <v>627</v>
      </c>
      <c r="B528" s="252">
        <v>239740</v>
      </c>
      <c r="C528" s="252">
        <v>69432</v>
      </c>
      <c r="D528" s="252">
        <v>170308</v>
      </c>
      <c r="E528" s="253">
        <v>138</v>
      </c>
      <c r="F528" s="253">
        <v>239602</v>
      </c>
      <c r="G528" s="186"/>
    </row>
    <row r="529" spans="1:7">
      <c r="A529" s="235" t="s">
        <v>523</v>
      </c>
      <c r="B529" s="252" t="s">
        <v>523</v>
      </c>
      <c r="C529" s="252" t="s">
        <v>523</v>
      </c>
      <c r="D529" s="253" t="s">
        <v>523</v>
      </c>
      <c r="E529" s="253" t="s">
        <v>523</v>
      </c>
      <c r="F529" s="253" t="s">
        <v>523</v>
      </c>
      <c r="G529" s="186"/>
    </row>
    <row r="530" spans="1:7">
      <c r="A530" s="233" t="s">
        <v>72</v>
      </c>
      <c r="B530" s="250">
        <v>322265</v>
      </c>
      <c r="C530" s="250">
        <v>44476</v>
      </c>
      <c r="D530" s="250">
        <v>277789</v>
      </c>
      <c r="E530" s="251">
        <v>108</v>
      </c>
      <c r="F530" s="251">
        <v>322157</v>
      </c>
      <c r="G530" s="186"/>
    </row>
    <row r="531" spans="1:7">
      <c r="A531" s="234" t="s">
        <v>607</v>
      </c>
      <c r="B531" s="252">
        <v>44476</v>
      </c>
      <c r="C531" s="252">
        <v>2886</v>
      </c>
      <c r="D531" s="252">
        <v>41590</v>
      </c>
      <c r="E531" s="253">
        <v>31</v>
      </c>
      <c r="F531" s="253">
        <v>44445</v>
      </c>
      <c r="G531" s="186"/>
    </row>
    <row r="532" spans="1:7">
      <c r="A532" s="234" t="s">
        <v>73</v>
      </c>
      <c r="B532" s="252">
        <v>202914</v>
      </c>
      <c r="C532" s="252">
        <v>38311</v>
      </c>
      <c r="D532" s="252">
        <v>164603</v>
      </c>
      <c r="E532" s="253">
        <v>6</v>
      </c>
      <c r="F532" s="253">
        <v>202908</v>
      </c>
      <c r="G532" s="186"/>
    </row>
    <row r="533" spans="1:7">
      <c r="A533" s="234" t="s">
        <v>214</v>
      </c>
      <c r="B533" s="252">
        <v>661</v>
      </c>
      <c r="C533" s="252">
        <v>71</v>
      </c>
      <c r="D533" s="252">
        <v>590</v>
      </c>
      <c r="E533" s="253">
        <v>0</v>
      </c>
      <c r="F533" s="253">
        <v>661</v>
      </c>
      <c r="G533" s="186"/>
    </row>
    <row r="534" spans="1:7">
      <c r="A534" s="234" t="s">
        <v>627</v>
      </c>
      <c r="B534" s="252">
        <v>74214</v>
      </c>
      <c r="C534" s="252">
        <v>3208</v>
      </c>
      <c r="D534" s="252">
        <v>71006</v>
      </c>
      <c r="E534" s="253">
        <v>71</v>
      </c>
      <c r="F534" s="253">
        <v>74143</v>
      </c>
      <c r="G534" s="186"/>
    </row>
    <row r="535" spans="1:7">
      <c r="A535" s="240" t="s">
        <v>523</v>
      </c>
      <c r="B535" s="252" t="s">
        <v>523</v>
      </c>
      <c r="C535" s="252" t="s">
        <v>523</v>
      </c>
      <c r="D535" s="253" t="s">
        <v>523</v>
      </c>
      <c r="E535" s="253" t="s">
        <v>523</v>
      </c>
      <c r="F535" s="253" t="s">
        <v>523</v>
      </c>
      <c r="G535" s="186"/>
    </row>
    <row r="536" spans="1:7">
      <c r="A536" s="233" t="s">
        <v>74</v>
      </c>
      <c r="B536" s="250">
        <v>184653</v>
      </c>
      <c r="C536" s="250">
        <v>33281</v>
      </c>
      <c r="D536" s="250">
        <v>151372</v>
      </c>
      <c r="E536" s="251">
        <v>4968</v>
      </c>
      <c r="F536" s="251">
        <v>179685</v>
      </c>
      <c r="G536" s="186"/>
    </row>
    <row r="537" spans="1:7">
      <c r="A537" s="234" t="s">
        <v>213</v>
      </c>
      <c r="B537" s="252">
        <v>5910</v>
      </c>
      <c r="C537" s="252">
        <v>147</v>
      </c>
      <c r="D537" s="252">
        <v>5763</v>
      </c>
      <c r="E537" s="253">
        <v>0</v>
      </c>
      <c r="F537" s="253">
        <v>5910</v>
      </c>
      <c r="G537" s="186"/>
    </row>
    <row r="538" spans="1:7">
      <c r="A538" s="234" t="s">
        <v>212</v>
      </c>
      <c r="B538" s="252">
        <v>527</v>
      </c>
      <c r="C538" s="252">
        <v>-6</v>
      </c>
      <c r="D538" s="252">
        <v>533</v>
      </c>
      <c r="E538" s="253">
        <v>0</v>
      </c>
      <c r="F538" s="253">
        <v>527</v>
      </c>
      <c r="G538" s="186"/>
    </row>
    <row r="539" spans="1:7">
      <c r="A539" s="234" t="s">
        <v>211</v>
      </c>
      <c r="B539" s="252">
        <v>10767</v>
      </c>
      <c r="C539" s="252">
        <v>1941</v>
      </c>
      <c r="D539" s="252">
        <v>8826</v>
      </c>
      <c r="E539" s="253">
        <v>77</v>
      </c>
      <c r="F539" s="253">
        <v>10690</v>
      </c>
      <c r="G539" s="186"/>
    </row>
    <row r="540" spans="1:7">
      <c r="A540" s="234" t="s">
        <v>627</v>
      </c>
      <c r="B540" s="252">
        <v>167449</v>
      </c>
      <c r="C540" s="252">
        <v>31199</v>
      </c>
      <c r="D540" s="252">
        <v>136250</v>
      </c>
      <c r="E540" s="253">
        <v>4891</v>
      </c>
      <c r="F540" s="253">
        <v>162558</v>
      </c>
      <c r="G540" s="186"/>
    </row>
    <row r="541" spans="1:7">
      <c r="A541" s="238" t="s">
        <v>523</v>
      </c>
      <c r="B541" s="252" t="s">
        <v>523</v>
      </c>
      <c r="C541" s="252" t="s">
        <v>523</v>
      </c>
      <c r="D541" s="253" t="s">
        <v>523</v>
      </c>
      <c r="E541" s="253" t="s">
        <v>523</v>
      </c>
      <c r="F541" s="253" t="s">
        <v>523</v>
      </c>
      <c r="G541" s="186"/>
    </row>
    <row r="542" spans="1:7">
      <c r="A542" s="233" t="s">
        <v>75</v>
      </c>
      <c r="B542" s="250">
        <v>438816</v>
      </c>
      <c r="C542" s="250">
        <v>59368</v>
      </c>
      <c r="D542" s="250">
        <v>379448</v>
      </c>
      <c r="E542" s="251">
        <v>6</v>
      </c>
      <c r="F542" s="251">
        <v>438810</v>
      </c>
      <c r="G542" s="186"/>
    </row>
    <row r="543" spans="1:7">
      <c r="A543" s="234" t="s">
        <v>210</v>
      </c>
      <c r="B543" s="252">
        <v>4617</v>
      </c>
      <c r="C543" s="252">
        <v>127</v>
      </c>
      <c r="D543" s="252">
        <v>4490</v>
      </c>
      <c r="E543" s="253">
        <v>0</v>
      </c>
      <c r="F543" s="253">
        <v>4617</v>
      </c>
      <c r="G543" s="186"/>
    </row>
    <row r="544" spans="1:7">
      <c r="A544" s="234" t="s">
        <v>209</v>
      </c>
      <c r="B544" s="252">
        <v>77561</v>
      </c>
      <c r="C544" s="252">
        <v>20204</v>
      </c>
      <c r="D544" s="252">
        <v>57357</v>
      </c>
      <c r="E544" s="253">
        <v>0</v>
      </c>
      <c r="F544" s="253">
        <v>77561</v>
      </c>
      <c r="G544" s="186"/>
    </row>
    <row r="545" spans="1:7">
      <c r="A545" s="246" t="s">
        <v>144</v>
      </c>
      <c r="B545" s="252">
        <v>57683</v>
      </c>
      <c r="C545" s="252">
        <v>5766</v>
      </c>
      <c r="D545" s="252">
        <v>51917</v>
      </c>
      <c r="E545" s="253">
        <v>6</v>
      </c>
      <c r="F545" s="253">
        <v>57677</v>
      </c>
      <c r="G545" s="186"/>
    </row>
    <row r="546" spans="1:7">
      <c r="A546" s="234" t="s">
        <v>208</v>
      </c>
      <c r="B546" s="252">
        <v>24016</v>
      </c>
      <c r="C546" s="252">
        <v>3268</v>
      </c>
      <c r="D546" s="252">
        <v>20748</v>
      </c>
      <c r="E546" s="253">
        <v>0</v>
      </c>
      <c r="F546" s="253">
        <v>24016</v>
      </c>
      <c r="G546" s="186"/>
    </row>
    <row r="547" spans="1:7">
      <c r="A547" s="234" t="s">
        <v>627</v>
      </c>
      <c r="B547" s="252">
        <v>274939</v>
      </c>
      <c r="C547" s="252">
        <v>30003</v>
      </c>
      <c r="D547" s="252">
        <v>244936</v>
      </c>
      <c r="E547" s="253">
        <v>0</v>
      </c>
      <c r="F547" s="253">
        <v>274939</v>
      </c>
      <c r="G547" s="186"/>
    </row>
    <row r="548" spans="1:7">
      <c r="A548" s="235" t="s">
        <v>523</v>
      </c>
      <c r="B548" s="252" t="s">
        <v>523</v>
      </c>
      <c r="C548" s="252" t="s">
        <v>523</v>
      </c>
      <c r="D548" s="253" t="s">
        <v>523</v>
      </c>
      <c r="E548" s="253" t="s">
        <v>523</v>
      </c>
      <c r="F548" s="253" t="s">
        <v>523</v>
      </c>
      <c r="G548" s="186"/>
    </row>
    <row r="549" spans="1:7">
      <c r="A549" s="233" t="s">
        <v>76</v>
      </c>
      <c r="B549" s="250">
        <v>476727</v>
      </c>
      <c r="C549" s="250">
        <v>54009</v>
      </c>
      <c r="D549" s="250">
        <v>422718</v>
      </c>
      <c r="E549" s="251">
        <v>131</v>
      </c>
      <c r="F549" s="251">
        <v>476596</v>
      </c>
      <c r="G549" s="186"/>
    </row>
    <row r="550" spans="1:7">
      <c r="A550" s="234" t="s">
        <v>207</v>
      </c>
      <c r="B550" s="252">
        <v>45304</v>
      </c>
      <c r="C550" s="252">
        <v>3808</v>
      </c>
      <c r="D550" s="252">
        <v>41496</v>
      </c>
      <c r="E550" s="253">
        <v>0</v>
      </c>
      <c r="F550" s="253">
        <v>45304</v>
      </c>
      <c r="G550" s="186"/>
    </row>
    <row r="551" spans="1:7">
      <c r="A551" s="234" t="s">
        <v>206</v>
      </c>
      <c r="B551" s="252">
        <v>30341</v>
      </c>
      <c r="C551" s="252">
        <v>4100</v>
      </c>
      <c r="D551" s="252">
        <v>26241</v>
      </c>
      <c r="E551" s="253">
        <v>5</v>
      </c>
      <c r="F551" s="253">
        <v>30336</v>
      </c>
      <c r="G551" s="186"/>
    </row>
    <row r="552" spans="1:7">
      <c r="A552" s="234" t="s">
        <v>205</v>
      </c>
      <c r="B552" s="252">
        <v>17633</v>
      </c>
      <c r="C552" s="252">
        <v>3811</v>
      </c>
      <c r="D552" s="252">
        <v>13822</v>
      </c>
      <c r="E552" s="253">
        <v>0</v>
      </c>
      <c r="F552" s="253">
        <v>17633</v>
      </c>
      <c r="G552" s="186"/>
    </row>
    <row r="553" spans="1:7">
      <c r="A553" s="234" t="s">
        <v>204</v>
      </c>
      <c r="B553" s="252">
        <v>16036</v>
      </c>
      <c r="C553" s="252">
        <v>2379</v>
      </c>
      <c r="D553" s="252">
        <v>13657</v>
      </c>
      <c r="E553" s="253">
        <v>0</v>
      </c>
      <c r="F553" s="253">
        <v>16036</v>
      </c>
      <c r="G553" s="186"/>
    </row>
    <row r="554" spans="1:7">
      <c r="A554" s="234" t="s">
        <v>203</v>
      </c>
      <c r="B554" s="252">
        <v>40145</v>
      </c>
      <c r="C554" s="252">
        <v>6803</v>
      </c>
      <c r="D554" s="252">
        <v>33342</v>
      </c>
      <c r="E554" s="253">
        <v>0</v>
      </c>
      <c r="F554" s="253">
        <v>40145</v>
      </c>
      <c r="G554" s="186"/>
    </row>
    <row r="555" spans="1:7">
      <c r="A555" s="234" t="s">
        <v>202</v>
      </c>
      <c r="B555" s="252">
        <v>61791</v>
      </c>
      <c r="C555" s="252">
        <v>8221</v>
      </c>
      <c r="D555" s="252">
        <v>53570</v>
      </c>
      <c r="E555" s="253">
        <v>1</v>
      </c>
      <c r="F555" s="253">
        <v>61790</v>
      </c>
      <c r="G555" s="186"/>
    </row>
    <row r="556" spans="1:7">
      <c r="A556" s="234" t="s">
        <v>201</v>
      </c>
      <c r="B556" s="252">
        <v>38760</v>
      </c>
      <c r="C556" s="252">
        <v>5478</v>
      </c>
      <c r="D556" s="252">
        <v>33282</v>
      </c>
      <c r="E556" s="253">
        <v>0</v>
      </c>
      <c r="F556" s="253">
        <v>38760</v>
      </c>
      <c r="G556" s="186"/>
    </row>
    <row r="557" spans="1:7">
      <c r="A557" s="234" t="s">
        <v>627</v>
      </c>
      <c r="B557" s="252">
        <v>226717</v>
      </c>
      <c r="C557" s="252">
        <v>19409</v>
      </c>
      <c r="D557" s="252">
        <v>207308</v>
      </c>
      <c r="E557" s="253">
        <v>125</v>
      </c>
      <c r="F557" s="253">
        <v>226592</v>
      </c>
      <c r="G557" s="186"/>
    </row>
    <row r="558" spans="1:7">
      <c r="A558" s="235" t="s">
        <v>523</v>
      </c>
      <c r="B558" s="252" t="s">
        <v>523</v>
      </c>
      <c r="C558" s="252" t="s">
        <v>523</v>
      </c>
      <c r="D558" s="253" t="s">
        <v>523</v>
      </c>
      <c r="E558" s="253" t="s">
        <v>523</v>
      </c>
      <c r="F558" s="253" t="s">
        <v>523</v>
      </c>
      <c r="G558" s="186"/>
    </row>
    <row r="559" spans="1:7">
      <c r="A559" s="233" t="s">
        <v>77</v>
      </c>
      <c r="B559" s="250">
        <v>141422</v>
      </c>
      <c r="C559" s="250">
        <v>48002</v>
      </c>
      <c r="D559" s="250">
        <v>93420</v>
      </c>
      <c r="E559" s="251">
        <v>7650</v>
      </c>
      <c r="F559" s="251">
        <v>133772</v>
      </c>
      <c r="G559" s="186"/>
    </row>
    <row r="560" spans="1:7">
      <c r="A560" s="234" t="s">
        <v>200</v>
      </c>
      <c r="B560" s="252">
        <v>2566</v>
      </c>
      <c r="C560" s="252">
        <v>148</v>
      </c>
      <c r="D560" s="252">
        <v>2418</v>
      </c>
      <c r="E560" s="253">
        <v>0</v>
      </c>
      <c r="F560" s="253">
        <v>2566</v>
      </c>
      <c r="G560" s="186"/>
    </row>
    <row r="561" spans="1:7">
      <c r="A561" s="234" t="s">
        <v>199</v>
      </c>
      <c r="B561" s="252">
        <v>1164</v>
      </c>
      <c r="C561" s="252">
        <v>176</v>
      </c>
      <c r="D561" s="252">
        <v>988</v>
      </c>
      <c r="E561" s="253">
        <v>0</v>
      </c>
      <c r="F561" s="253">
        <v>1164</v>
      </c>
      <c r="G561" s="186"/>
    </row>
    <row r="562" spans="1:7">
      <c r="A562" s="234" t="s">
        <v>198</v>
      </c>
      <c r="B562" s="252">
        <v>734</v>
      </c>
      <c r="C562" s="252">
        <v>31</v>
      </c>
      <c r="D562" s="252">
        <v>703</v>
      </c>
      <c r="E562" s="253">
        <v>0</v>
      </c>
      <c r="F562" s="253">
        <v>734</v>
      </c>
      <c r="G562" s="186"/>
    </row>
    <row r="563" spans="1:7">
      <c r="A563" s="234" t="s">
        <v>197</v>
      </c>
      <c r="B563" s="252">
        <v>790</v>
      </c>
      <c r="C563" s="252">
        <v>5</v>
      </c>
      <c r="D563" s="252">
        <v>785</v>
      </c>
      <c r="E563" s="253">
        <v>0</v>
      </c>
      <c r="F563" s="253">
        <v>790</v>
      </c>
      <c r="G563" s="186"/>
    </row>
    <row r="564" spans="1:7">
      <c r="A564" s="234" t="s">
        <v>196</v>
      </c>
      <c r="B564" s="252">
        <v>17354</v>
      </c>
      <c r="C564" s="252">
        <v>10645</v>
      </c>
      <c r="D564" s="252">
        <v>6709</v>
      </c>
      <c r="E564" s="253">
        <v>0</v>
      </c>
      <c r="F564" s="253">
        <v>17354</v>
      </c>
      <c r="G564" s="186"/>
    </row>
    <row r="565" spans="1:7">
      <c r="A565" s="234" t="s">
        <v>627</v>
      </c>
      <c r="B565" s="252">
        <v>118814</v>
      </c>
      <c r="C565" s="252">
        <v>36997</v>
      </c>
      <c r="D565" s="252">
        <v>81817</v>
      </c>
      <c r="E565" s="253">
        <v>7650</v>
      </c>
      <c r="F565" s="253">
        <v>111164</v>
      </c>
      <c r="G565" s="186"/>
    </row>
    <row r="566" spans="1:7">
      <c r="A566" s="235" t="s">
        <v>523</v>
      </c>
      <c r="B566" s="252" t="s">
        <v>523</v>
      </c>
      <c r="C566" s="252" t="s">
        <v>523</v>
      </c>
      <c r="D566" s="253" t="s">
        <v>523</v>
      </c>
      <c r="E566" s="253" t="s">
        <v>523</v>
      </c>
      <c r="F566" s="253" t="s">
        <v>523</v>
      </c>
      <c r="G566" s="186"/>
    </row>
    <row r="567" spans="1:7">
      <c r="A567" s="233" t="s">
        <v>78</v>
      </c>
      <c r="B567" s="250">
        <v>45463</v>
      </c>
      <c r="C567" s="250">
        <v>3912</v>
      </c>
      <c r="D567" s="250">
        <v>41551</v>
      </c>
      <c r="E567" s="251">
        <v>1986</v>
      </c>
      <c r="F567" s="251">
        <v>43477</v>
      </c>
      <c r="G567" s="186"/>
    </row>
    <row r="568" spans="1:7">
      <c r="A568" s="234" t="s">
        <v>195</v>
      </c>
      <c r="B568" s="252">
        <v>743</v>
      </c>
      <c r="C568" s="252">
        <v>31</v>
      </c>
      <c r="D568" s="252">
        <v>712</v>
      </c>
      <c r="E568" s="253">
        <v>0</v>
      </c>
      <c r="F568" s="253">
        <v>743</v>
      </c>
      <c r="G568" s="186"/>
    </row>
    <row r="569" spans="1:7">
      <c r="A569" s="234" t="s">
        <v>194</v>
      </c>
      <c r="B569" s="252">
        <v>6893</v>
      </c>
      <c r="C569" s="252">
        <v>43</v>
      </c>
      <c r="D569" s="252">
        <v>6850</v>
      </c>
      <c r="E569" s="253">
        <v>0</v>
      </c>
      <c r="F569" s="253">
        <v>6893</v>
      </c>
      <c r="G569" s="186"/>
    </row>
    <row r="570" spans="1:7">
      <c r="A570" s="234" t="s">
        <v>627</v>
      </c>
      <c r="B570" s="252">
        <v>37827</v>
      </c>
      <c r="C570" s="252">
        <v>3838</v>
      </c>
      <c r="D570" s="252">
        <v>33989</v>
      </c>
      <c r="E570" s="253">
        <v>1986</v>
      </c>
      <c r="F570" s="253">
        <v>35841</v>
      </c>
      <c r="G570" s="186"/>
    </row>
    <row r="571" spans="1:7">
      <c r="A571" s="238" t="s">
        <v>523</v>
      </c>
      <c r="B571" s="252" t="s">
        <v>523</v>
      </c>
      <c r="C571" s="252" t="s">
        <v>523</v>
      </c>
      <c r="D571" s="253" t="s">
        <v>523</v>
      </c>
      <c r="E571" s="253" t="s">
        <v>523</v>
      </c>
      <c r="F571" s="253" t="s">
        <v>523</v>
      </c>
      <c r="G571" s="186"/>
    </row>
    <row r="572" spans="1:7">
      <c r="A572" s="233" t="s">
        <v>79</v>
      </c>
      <c r="B572" s="250">
        <v>22436</v>
      </c>
      <c r="C572" s="250">
        <v>-134</v>
      </c>
      <c r="D572" s="250">
        <v>22570</v>
      </c>
      <c r="E572" s="251">
        <v>2283</v>
      </c>
      <c r="F572" s="251">
        <v>20153</v>
      </c>
      <c r="G572" s="186"/>
    </row>
    <row r="573" spans="1:7">
      <c r="A573" s="234" t="s">
        <v>193</v>
      </c>
      <c r="B573" s="252">
        <v>6937</v>
      </c>
      <c r="C573" s="252">
        <v>-80</v>
      </c>
      <c r="D573" s="252">
        <v>7017</v>
      </c>
      <c r="E573" s="253">
        <v>0</v>
      </c>
      <c r="F573" s="253">
        <v>6937</v>
      </c>
      <c r="G573" s="186"/>
    </row>
    <row r="574" spans="1:7">
      <c r="A574" s="234" t="s">
        <v>627</v>
      </c>
      <c r="B574" s="252">
        <v>15499</v>
      </c>
      <c r="C574" s="252">
        <v>-54</v>
      </c>
      <c r="D574" s="252">
        <v>15553</v>
      </c>
      <c r="E574" s="253">
        <v>2283</v>
      </c>
      <c r="F574" s="253">
        <v>13216</v>
      </c>
      <c r="G574" s="186"/>
    </row>
    <row r="575" spans="1:7">
      <c r="A575" s="238" t="s">
        <v>523</v>
      </c>
      <c r="B575" s="252" t="s">
        <v>523</v>
      </c>
      <c r="C575" s="252" t="s">
        <v>523</v>
      </c>
      <c r="D575" s="253" t="s">
        <v>523</v>
      </c>
      <c r="E575" s="253" t="s">
        <v>523</v>
      </c>
      <c r="F575" s="253" t="s">
        <v>523</v>
      </c>
      <c r="G575" s="186"/>
    </row>
    <row r="576" spans="1:7">
      <c r="A576" s="233" t="s">
        <v>80</v>
      </c>
      <c r="B576" s="250">
        <v>15410</v>
      </c>
      <c r="C576" s="250">
        <v>-125</v>
      </c>
      <c r="D576" s="250">
        <v>15535</v>
      </c>
      <c r="E576" s="251">
        <v>4792</v>
      </c>
      <c r="F576" s="251">
        <v>10618</v>
      </c>
      <c r="G576" s="186"/>
    </row>
    <row r="577" spans="1:7">
      <c r="A577" s="234" t="s">
        <v>192</v>
      </c>
      <c r="B577" s="252">
        <v>1758</v>
      </c>
      <c r="C577" s="252">
        <v>-139</v>
      </c>
      <c r="D577" s="252">
        <v>1897</v>
      </c>
      <c r="E577" s="253">
        <v>0</v>
      </c>
      <c r="F577" s="253">
        <v>1758</v>
      </c>
      <c r="G577" s="186"/>
    </row>
    <row r="578" spans="1:7">
      <c r="A578" s="234" t="s">
        <v>191</v>
      </c>
      <c r="B578" s="252">
        <v>242</v>
      </c>
      <c r="C578" s="252">
        <v>-13</v>
      </c>
      <c r="D578" s="252">
        <v>255</v>
      </c>
      <c r="E578" s="253">
        <v>0</v>
      </c>
      <c r="F578" s="253">
        <v>242</v>
      </c>
      <c r="G578" s="186"/>
    </row>
    <row r="579" spans="1:7">
      <c r="A579" s="246" t="s">
        <v>190</v>
      </c>
      <c r="B579" s="252">
        <v>377</v>
      </c>
      <c r="C579" s="252">
        <v>-30</v>
      </c>
      <c r="D579" s="252">
        <v>407</v>
      </c>
      <c r="E579" s="253">
        <v>0</v>
      </c>
      <c r="F579" s="253">
        <v>377</v>
      </c>
      <c r="G579" s="186"/>
    </row>
    <row r="580" spans="1:7">
      <c r="A580" s="246" t="s">
        <v>627</v>
      </c>
      <c r="B580" s="252">
        <v>13033</v>
      </c>
      <c r="C580" s="252">
        <v>57</v>
      </c>
      <c r="D580" s="252">
        <v>12976</v>
      </c>
      <c r="E580" s="253">
        <v>4792</v>
      </c>
      <c r="F580" s="253">
        <v>8241</v>
      </c>
      <c r="G580" s="186"/>
    </row>
    <row r="581" spans="1:7">
      <c r="A581" s="238" t="s">
        <v>523</v>
      </c>
      <c r="B581" s="252" t="s">
        <v>523</v>
      </c>
      <c r="C581" s="252" t="s">
        <v>523</v>
      </c>
      <c r="D581" s="253" t="s">
        <v>523</v>
      </c>
      <c r="E581" s="253" t="s">
        <v>523</v>
      </c>
      <c r="F581" s="253" t="s">
        <v>523</v>
      </c>
      <c r="G581" s="186"/>
    </row>
    <row r="582" spans="1:7">
      <c r="A582" s="233" t="s">
        <v>81</v>
      </c>
      <c r="B582" s="250">
        <v>551588</v>
      </c>
      <c r="C582" s="250">
        <v>56995</v>
      </c>
      <c r="D582" s="250">
        <v>494593</v>
      </c>
      <c r="E582" s="251">
        <v>1802</v>
      </c>
      <c r="F582" s="251">
        <v>549786</v>
      </c>
      <c r="G582" s="186"/>
    </row>
    <row r="583" spans="1:7">
      <c r="A583" s="234" t="s">
        <v>82</v>
      </c>
      <c r="B583" s="252">
        <v>70235</v>
      </c>
      <c r="C583" s="252">
        <v>9230</v>
      </c>
      <c r="D583" s="252">
        <v>61005</v>
      </c>
      <c r="E583" s="253">
        <v>29</v>
      </c>
      <c r="F583" s="253">
        <v>70206</v>
      </c>
      <c r="G583" s="186"/>
    </row>
    <row r="584" spans="1:7">
      <c r="A584" s="234" t="s">
        <v>189</v>
      </c>
      <c r="B584" s="252">
        <v>4489</v>
      </c>
      <c r="C584" s="252">
        <v>242</v>
      </c>
      <c r="D584" s="252">
        <v>4247</v>
      </c>
      <c r="E584" s="253">
        <v>0</v>
      </c>
      <c r="F584" s="253">
        <v>4489</v>
      </c>
      <c r="G584" s="186"/>
    </row>
    <row r="585" spans="1:7">
      <c r="A585" s="234" t="s">
        <v>188</v>
      </c>
      <c r="B585" s="252">
        <v>21973</v>
      </c>
      <c r="C585" s="252">
        <v>2653</v>
      </c>
      <c r="D585" s="252">
        <v>19320</v>
      </c>
      <c r="E585" s="253">
        <v>0</v>
      </c>
      <c r="F585" s="253">
        <v>21973</v>
      </c>
      <c r="G585" s="186"/>
    </row>
    <row r="586" spans="1:7">
      <c r="A586" s="234" t="s">
        <v>187</v>
      </c>
      <c r="B586" s="252">
        <v>37043</v>
      </c>
      <c r="C586" s="252">
        <v>10012</v>
      </c>
      <c r="D586" s="252">
        <v>27031</v>
      </c>
      <c r="E586" s="253">
        <v>0</v>
      </c>
      <c r="F586" s="253">
        <v>37043</v>
      </c>
      <c r="G586" s="186"/>
    </row>
    <row r="587" spans="1:7">
      <c r="A587" s="234" t="s">
        <v>83</v>
      </c>
      <c r="B587" s="252">
        <v>93677</v>
      </c>
      <c r="C587" s="252">
        <v>8495</v>
      </c>
      <c r="D587" s="252">
        <v>85182</v>
      </c>
      <c r="E587" s="253">
        <v>0</v>
      </c>
      <c r="F587" s="253">
        <v>93677</v>
      </c>
      <c r="G587" s="186"/>
    </row>
    <row r="588" spans="1:7">
      <c r="A588" s="234" t="s">
        <v>186</v>
      </c>
      <c r="B588" s="252">
        <v>23818</v>
      </c>
      <c r="C588" s="252">
        <v>3068</v>
      </c>
      <c r="D588" s="252">
        <v>20750</v>
      </c>
      <c r="E588" s="253">
        <v>0</v>
      </c>
      <c r="F588" s="253">
        <v>23818</v>
      </c>
      <c r="G588" s="186"/>
    </row>
    <row r="589" spans="1:7">
      <c r="A589" s="234" t="s">
        <v>185</v>
      </c>
      <c r="B589" s="252">
        <v>60</v>
      </c>
      <c r="C589" s="252">
        <v>0</v>
      </c>
      <c r="D589" s="252">
        <v>60</v>
      </c>
      <c r="E589" s="253">
        <v>0</v>
      </c>
      <c r="F589" s="253">
        <v>60</v>
      </c>
      <c r="G589" s="186"/>
    </row>
    <row r="590" spans="1:7">
      <c r="A590" s="234" t="s">
        <v>184</v>
      </c>
      <c r="B590" s="252">
        <v>12398</v>
      </c>
      <c r="C590" s="252">
        <v>739</v>
      </c>
      <c r="D590" s="252">
        <v>11659</v>
      </c>
      <c r="E590" s="253">
        <v>0</v>
      </c>
      <c r="F590" s="253">
        <v>12398</v>
      </c>
      <c r="G590" s="186"/>
    </row>
    <row r="591" spans="1:7">
      <c r="A591" s="234" t="s">
        <v>183</v>
      </c>
      <c r="B591" s="252">
        <v>2849</v>
      </c>
      <c r="C591" s="252">
        <v>225</v>
      </c>
      <c r="D591" s="252">
        <v>2624</v>
      </c>
      <c r="E591" s="253">
        <v>0</v>
      </c>
      <c r="F591" s="253">
        <v>2849</v>
      </c>
      <c r="G591" s="186"/>
    </row>
    <row r="592" spans="1:7">
      <c r="A592" s="234" t="s">
        <v>182</v>
      </c>
      <c r="B592" s="252">
        <v>28594</v>
      </c>
      <c r="C592" s="252">
        <v>6130</v>
      </c>
      <c r="D592" s="252">
        <v>22464</v>
      </c>
      <c r="E592" s="253">
        <v>0</v>
      </c>
      <c r="F592" s="253">
        <v>28594</v>
      </c>
      <c r="G592" s="186"/>
    </row>
    <row r="593" spans="1:7">
      <c r="A593" s="234" t="s">
        <v>181</v>
      </c>
      <c r="B593" s="252">
        <v>2110</v>
      </c>
      <c r="C593" s="252">
        <v>318</v>
      </c>
      <c r="D593" s="252">
        <v>1792</v>
      </c>
      <c r="E593" s="253">
        <v>0</v>
      </c>
      <c r="F593" s="253">
        <v>2110</v>
      </c>
      <c r="G593" s="186"/>
    </row>
    <row r="594" spans="1:7">
      <c r="A594" s="234" t="s">
        <v>180</v>
      </c>
      <c r="B594" s="252">
        <v>12436</v>
      </c>
      <c r="C594" s="252">
        <v>1837</v>
      </c>
      <c r="D594" s="252">
        <v>10599</v>
      </c>
      <c r="E594" s="253">
        <v>0</v>
      </c>
      <c r="F594" s="253">
        <v>12436</v>
      </c>
      <c r="G594" s="186"/>
    </row>
    <row r="595" spans="1:7">
      <c r="A595" s="234" t="s">
        <v>179</v>
      </c>
      <c r="B595" s="252">
        <v>41782</v>
      </c>
      <c r="C595" s="252">
        <v>3645</v>
      </c>
      <c r="D595" s="252">
        <v>38137</v>
      </c>
      <c r="E595" s="253">
        <v>5</v>
      </c>
      <c r="F595" s="253">
        <v>41777</v>
      </c>
      <c r="G595" s="186"/>
    </row>
    <row r="596" spans="1:7">
      <c r="A596" s="234" t="s">
        <v>178</v>
      </c>
      <c r="B596" s="252">
        <v>1869</v>
      </c>
      <c r="C596" s="252">
        <v>133</v>
      </c>
      <c r="D596" s="252">
        <v>1736</v>
      </c>
      <c r="E596" s="253">
        <v>0</v>
      </c>
      <c r="F596" s="253">
        <v>1869</v>
      </c>
      <c r="G596" s="186"/>
    </row>
    <row r="597" spans="1:7">
      <c r="A597" s="234" t="s">
        <v>177</v>
      </c>
      <c r="B597" s="252">
        <v>3205</v>
      </c>
      <c r="C597" s="252">
        <v>173</v>
      </c>
      <c r="D597" s="252">
        <v>3032</v>
      </c>
      <c r="E597" s="253">
        <v>0</v>
      </c>
      <c r="F597" s="253">
        <v>3205</v>
      </c>
      <c r="G597" s="186"/>
    </row>
    <row r="598" spans="1:7">
      <c r="A598" s="234" t="s">
        <v>176</v>
      </c>
      <c r="B598" s="252">
        <v>62832</v>
      </c>
      <c r="C598" s="252">
        <v>6784</v>
      </c>
      <c r="D598" s="252">
        <v>56048</v>
      </c>
      <c r="E598" s="253">
        <v>0</v>
      </c>
      <c r="F598" s="253">
        <v>62832</v>
      </c>
      <c r="G598" s="186"/>
    </row>
    <row r="599" spans="1:7">
      <c r="A599" s="234" t="s">
        <v>175</v>
      </c>
      <c r="B599" s="252">
        <v>13007</v>
      </c>
      <c r="C599" s="252">
        <v>755</v>
      </c>
      <c r="D599" s="252">
        <v>12252</v>
      </c>
      <c r="E599" s="253">
        <v>0</v>
      </c>
      <c r="F599" s="253">
        <v>13007</v>
      </c>
      <c r="G599" s="186"/>
    </row>
    <row r="600" spans="1:7">
      <c r="A600" s="234" t="s">
        <v>627</v>
      </c>
      <c r="B600" s="252">
        <v>119211</v>
      </c>
      <c r="C600" s="252">
        <v>2556</v>
      </c>
      <c r="D600" s="252">
        <v>116655</v>
      </c>
      <c r="E600" s="253">
        <v>1768</v>
      </c>
      <c r="F600" s="253">
        <v>117443</v>
      </c>
      <c r="G600" s="186"/>
    </row>
    <row r="601" spans="1:7">
      <c r="A601" s="237" t="s">
        <v>87</v>
      </c>
      <c r="B601" s="252" t="s">
        <v>523</v>
      </c>
      <c r="C601" s="252" t="s">
        <v>523</v>
      </c>
      <c r="D601" s="253" t="s">
        <v>523</v>
      </c>
      <c r="E601" s="253" t="s">
        <v>523</v>
      </c>
      <c r="F601" s="253" t="s">
        <v>523</v>
      </c>
      <c r="G601" s="186"/>
    </row>
    <row r="602" spans="1:7">
      <c r="A602" s="233" t="s">
        <v>84</v>
      </c>
      <c r="B602" s="250">
        <v>33981</v>
      </c>
      <c r="C602" s="250">
        <v>3205</v>
      </c>
      <c r="D602" s="250">
        <v>30776</v>
      </c>
      <c r="E602" s="251">
        <v>2971</v>
      </c>
      <c r="F602" s="251">
        <v>31010</v>
      </c>
      <c r="G602" s="186"/>
    </row>
    <row r="603" spans="1:7">
      <c r="A603" s="234" t="s">
        <v>174</v>
      </c>
      <c r="B603" s="252">
        <v>345</v>
      </c>
      <c r="C603" s="252">
        <v>52</v>
      </c>
      <c r="D603" s="252">
        <v>293</v>
      </c>
      <c r="E603" s="253">
        <v>0</v>
      </c>
      <c r="F603" s="253">
        <v>345</v>
      </c>
      <c r="G603" s="186"/>
    </row>
    <row r="604" spans="1:7">
      <c r="A604" s="234" t="s">
        <v>173</v>
      </c>
      <c r="B604" s="252">
        <v>515</v>
      </c>
      <c r="C604" s="252">
        <v>58</v>
      </c>
      <c r="D604" s="252">
        <v>457</v>
      </c>
      <c r="E604" s="253">
        <v>0</v>
      </c>
      <c r="F604" s="253">
        <v>515</v>
      </c>
      <c r="G604" s="186"/>
    </row>
    <row r="605" spans="1:7">
      <c r="A605" s="234" t="s">
        <v>627</v>
      </c>
      <c r="B605" s="252">
        <v>33121</v>
      </c>
      <c r="C605" s="252">
        <v>3095</v>
      </c>
      <c r="D605" s="252">
        <v>30026</v>
      </c>
      <c r="E605" s="253">
        <v>2971</v>
      </c>
      <c r="F605" s="253">
        <v>30150</v>
      </c>
      <c r="G605" s="186"/>
    </row>
    <row r="606" spans="1:7">
      <c r="A606" s="237" t="s">
        <v>523</v>
      </c>
      <c r="B606" s="252" t="s">
        <v>523</v>
      </c>
      <c r="C606" s="252" t="s">
        <v>523</v>
      </c>
      <c r="D606" s="253" t="s">
        <v>523</v>
      </c>
      <c r="E606" s="253" t="s">
        <v>523</v>
      </c>
      <c r="F606" s="253" t="s">
        <v>523</v>
      </c>
      <c r="G606" s="186"/>
    </row>
    <row r="607" spans="1:7">
      <c r="A607" s="233" t="s">
        <v>85</v>
      </c>
      <c r="B607" s="250">
        <v>74724</v>
      </c>
      <c r="C607" s="252">
        <v>19681</v>
      </c>
      <c r="D607" s="250">
        <v>55043</v>
      </c>
      <c r="E607" s="251">
        <v>1478</v>
      </c>
      <c r="F607" s="251">
        <v>73246</v>
      </c>
      <c r="G607" s="186"/>
    </row>
    <row r="608" spans="1:7">
      <c r="A608" s="234" t="s">
        <v>172</v>
      </c>
      <c r="B608" s="252">
        <v>5653</v>
      </c>
      <c r="C608" s="252">
        <v>476</v>
      </c>
      <c r="D608" s="252">
        <v>5177</v>
      </c>
      <c r="E608" s="253">
        <v>25</v>
      </c>
      <c r="F608" s="253">
        <v>5628</v>
      </c>
      <c r="G608" s="186"/>
    </row>
    <row r="609" spans="1:9">
      <c r="A609" s="234" t="s">
        <v>171</v>
      </c>
      <c r="B609" s="252">
        <v>5765</v>
      </c>
      <c r="C609" s="252">
        <v>3978</v>
      </c>
      <c r="D609" s="252">
        <v>1787</v>
      </c>
      <c r="E609" s="253">
        <v>0</v>
      </c>
      <c r="F609" s="253">
        <v>5765</v>
      </c>
      <c r="G609" s="186"/>
    </row>
    <row r="610" spans="1:9">
      <c r="A610" s="234" t="s">
        <v>170</v>
      </c>
      <c r="B610" s="252">
        <v>608</v>
      </c>
      <c r="C610" s="252">
        <v>-36</v>
      </c>
      <c r="D610" s="252">
        <v>644</v>
      </c>
      <c r="E610" s="253">
        <v>0</v>
      </c>
      <c r="F610" s="253">
        <v>608</v>
      </c>
      <c r="G610" s="186"/>
    </row>
    <row r="611" spans="1:9">
      <c r="A611" s="234" t="s">
        <v>627</v>
      </c>
      <c r="B611" s="252">
        <v>62698</v>
      </c>
      <c r="C611" s="252">
        <v>15263</v>
      </c>
      <c r="D611" s="252">
        <v>47435</v>
      </c>
      <c r="E611" s="253">
        <v>1453</v>
      </c>
      <c r="F611" s="253">
        <v>61245</v>
      </c>
      <c r="G611" s="186"/>
    </row>
    <row r="612" spans="1:9">
      <c r="A612" s="235" t="s">
        <v>523</v>
      </c>
      <c r="B612" s="252" t="s">
        <v>523</v>
      </c>
      <c r="C612" s="252" t="s">
        <v>523</v>
      </c>
      <c r="D612" s="253" t="s">
        <v>523</v>
      </c>
      <c r="E612" s="253" t="s">
        <v>523</v>
      </c>
      <c r="F612" s="253" t="s">
        <v>523</v>
      </c>
      <c r="G612" s="186"/>
    </row>
    <row r="613" spans="1:9">
      <c r="A613" s="233" t="s">
        <v>86</v>
      </c>
      <c r="B613" s="250">
        <v>25334</v>
      </c>
      <c r="C613" s="252">
        <v>438</v>
      </c>
      <c r="D613" s="250">
        <v>24896</v>
      </c>
      <c r="E613" s="251">
        <v>1969</v>
      </c>
      <c r="F613" s="251">
        <v>23365</v>
      </c>
      <c r="G613" s="186"/>
    </row>
    <row r="614" spans="1:9">
      <c r="A614" s="234" t="s">
        <v>169</v>
      </c>
      <c r="B614" s="252">
        <v>293</v>
      </c>
      <c r="C614" s="252">
        <v>-118</v>
      </c>
      <c r="D614" s="252">
        <v>411</v>
      </c>
      <c r="E614" s="253">
        <v>0</v>
      </c>
      <c r="F614" s="253">
        <v>293</v>
      </c>
      <c r="G614" s="186"/>
    </row>
    <row r="615" spans="1:9">
      <c r="A615" s="234" t="s">
        <v>168</v>
      </c>
      <c r="B615" s="252">
        <v>3601</v>
      </c>
      <c r="C615" s="252">
        <v>-4</v>
      </c>
      <c r="D615" s="252">
        <v>3605</v>
      </c>
      <c r="E615" s="253">
        <v>0</v>
      </c>
      <c r="F615" s="253">
        <v>3601</v>
      </c>
      <c r="G615" s="186"/>
    </row>
    <row r="616" spans="1:9">
      <c r="A616" s="234" t="s">
        <v>167</v>
      </c>
      <c r="B616" s="252">
        <v>240</v>
      </c>
      <c r="C616" s="252">
        <v>-30</v>
      </c>
      <c r="D616" s="252">
        <v>270</v>
      </c>
      <c r="E616" s="253">
        <v>0</v>
      </c>
      <c r="F616" s="253">
        <v>240</v>
      </c>
      <c r="G616" s="186"/>
    </row>
    <row r="617" spans="1:9">
      <c r="A617" s="234" t="s">
        <v>166</v>
      </c>
      <c r="B617" s="252">
        <v>733</v>
      </c>
      <c r="C617" s="252">
        <v>46</v>
      </c>
      <c r="D617" s="252">
        <v>687</v>
      </c>
      <c r="E617" s="253">
        <v>0</v>
      </c>
      <c r="F617" s="253">
        <v>733</v>
      </c>
      <c r="G617" s="186"/>
    </row>
    <row r="618" spans="1:9">
      <c r="A618" s="234" t="s">
        <v>165</v>
      </c>
      <c r="B618" s="252">
        <v>310</v>
      </c>
      <c r="C618" s="252">
        <v>-73</v>
      </c>
      <c r="D618" s="252">
        <v>383</v>
      </c>
      <c r="E618" s="253">
        <v>0</v>
      </c>
      <c r="F618" s="253">
        <v>310</v>
      </c>
      <c r="G618" s="186"/>
    </row>
    <row r="619" spans="1:9">
      <c r="A619" s="234" t="s">
        <v>627</v>
      </c>
      <c r="B619" s="252">
        <v>20157</v>
      </c>
      <c r="C619" s="252">
        <v>617</v>
      </c>
      <c r="D619" s="252">
        <v>19540</v>
      </c>
      <c r="E619" s="253">
        <v>1969</v>
      </c>
      <c r="F619" s="253">
        <v>18188</v>
      </c>
      <c r="G619" s="186"/>
    </row>
    <row r="620" spans="1:9">
      <c r="A620" s="241" t="s">
        <v>523</v>
      </c>
      <c r="B620" s="250"/>
      <c r="C620" s="250"/>
      <c r="D620" s="250"/>
      <c r="E620" s="250"/>
      <c r="F620" s="250"/>
      <c r="G620" s="186"/>
    </row>
    <row r="621" spans="1:9">
      <c r="A621" s="242" t="s">
        <v>158</v>
      </c>
      <c r="B621" s="243">
        <v>21596068</v>
      </c>
      <c r="C621" s="243">
        <v>2794736</v>
      </c>
      <c r="D621" s="243">
        <v>18801332</v>
      </c>
      <c r="E621" s="243">
        <v>112659</v>
      </c>
      <c r="F621" s="243">
        <v>21483409</v>
      </c>
      <c r="G621" s="186" t="s">
        <v>631</v>
      </c>
    </row>
    <row r="622" spans="1:9">
      <c r="A622" s="246" t="s">
        <v>159</v>
      </c>
      <c r="B622" s="252">
        <v>10907959</v>
      </c>
      <c r="C622" s="252">
        <v>1454778</v>
      </c>
      <c r="D622" s="252">
        <v>9453181</v>
      </c>
      <c r="E622" s="252">
        <v>16696</v>
      </c>
      <c r="F622" s="252">
        <v>10891263</v>
      </c>
      <c r="G622" s="186" t="s">
        <v>631</v>
      </c>
      <c r="H622" s="181"/>
      <c r="I622" s="182"/>
    </row>
    <row r="623" spans="1:9">
      <c r="A623" s="234" t="s">
        <v>155</v>
      </c>
      <c r="B623" s="252">
        <v>10688109</v>
      </c>
      <c r="C623" s="252">
        <v>1339958</v>
      </c>
      <c r="D623" s="252">
        <v>9348151</v>
      </c>
      <c r="E623" s="252">
        <v>95963</v>
      </c>
      <c r="F623" s="252">
        <v>10592146</v>
      </c>
      <c r="G623" s="186" t="s">
        <v>631</v>
      </c>
    </row>
    <row r="624" spans="1:9">
      <c r="A624" s="244"/>
      <c r="B624" s="254"/>
      <c r="C624" s="254"/>
      <c r="D624" s="255"/>
      <c r="E624" s="255"/>
      <c r="F624" s="255"/>
    </row>
    <row r="625" spans="1:6" ht="15" customHeight="1">
      <c r="A625"/>
      <c r="B625" s="254"/>
      <c r="C625" s="254"/>
      <c r="D625" s="255"/>
      <c r="E625" s="255"/>
      <c r="F625" s="255"/>
    </row>
    <row r="626" spans="1:6" ht="43.5" customHeight="1">
      <c r="A626" s="286" t="s">
        <v>608</v>
      </c>
      <c r="B626" s="286"/>
      <c r="C626" s="286"/>
      <c r="D626" s="286"/>
      <c r="E626" s="286"/>
      <c r="F626" s="286"/>
    </row>
    <row r="627" spans="1:6" ht="15" customHeight="1">
      <c r="A627" s="286" t="s">
        <v>609</v>
      </c>
      <c r="B627" s="286"/>
      <c r="C627" s="286"/>
      <c r="D627" s="286"/>
      <c r="E627" s="286"/>
      <c r="F627" s="286"/>
    </row>
    <row r="628" spans="1:6" ht="15" customHeight="1">
      <c r="A628" s="286" t="s">
        <v>610</v>
      </c>
      <c r="B628" s="286"/>
      <c r="C628" s="286"/>
      <c r="D628" s="286"/>
      <c r="E628" s="286"/>
      <c r="F628" s="286"/>
    </row>
    <row r="629" spans="1:6" ht="15" customHeight="1">
      <c r="A629" s="286" t="s">
        <v>611</v>
      </c>
      <c r="B629" s="286"/>
      <c r="C629" s="286"/>
      <c r="D629" s="286"/>
      <c r="E629" s="286"/>
      <c r="F629" s="286"/>
    </row>
    <row r="630" spans="1:6" ht="15" customHeight="1">
      <c r="A630" s="286" t="s">
        <v>612</v>
      </c>
      <c r="B630" s="286"/>
      <c r="C630" s="286"/>
      <c r="D630" s="286"/>
      <c r="E630" s="286"/>
      <c r="F630" s="286"/>
    </row>
    <row r="631" spans="1:6" ht="15" customHeight="1">
      <c r="A631" s="286" t="s">
        <v>613</v>
      </c>
      <c r="B631" s="286"/>
      <c r="C631" s="286"/>
      <c r="D631" s="286"/>
      <c r="E631" s="286"/>
      <c r="F631" s="286"/>
    </row>
    <row r="632" spans="1:6" ht="15" customHeight="1">
      <c r="A632" s="286" t="s">
        <v>628</v>
      </c>
      <c r="B632" s="286"/>
      <c r="C632" s="286"/>
      <c r="D632" s="286"/>
      <c r="E632" s="286"/>
      <c r="F632" s="286"/>
    </row>
    <row r="633" spans="1:6" ht="15" customHeight="1">
      <c r="A633" s="286" t="s">
        <v>629</v>
      </c>
      <c r="B633" s="287"/>
      <c r="C633" s="287"/>
      <c r="D633" s="287"/>
      <c r="E633" s="287"/>
      <c r="F633" s="287"/>
    </row>
    <row r="634" spans="1:6" ht="15" customHeight="1">
      <c r="A634" s="286" t="s">
        <v>630</v>
      </c>
      <c r="B634" s="286"/>
      <c r="C634" s="286"/>
      <c r="D634" s="286"/>
      <c r="E634" s="286"/>
      <c r="F634" s="286"/>
    </row>
    <row r="635" spans="1:6" ht="15" customHeight="1">
      <c r="A635" s="244"/>
      <c r="B635" s="254"/>
      <c r="C635" s="254"/>
      <c r="D635" s="255"/>
      <c r="E635" s="255"/>
      <c r="F635" s="255"/>
    </row>
    <row r="636" spans="1:6" ht="15" customHeight="1">
      <c r="A636" s="244"/>
      <c r="B636" s="254"/>
      <c r="C636" s="254"/>
      <c r="D636" s="255"/>
      <c r="E636" s="255"/>
      <c r="F636" s="255"/>
    </row>
    <row r="637" spans="1:6">
      <c r="A637" s="183"/>
    </row>
    <row r="638" spans="1:6">
      <c r="A638" s="183"/>
    </row>
    <row r="639" spans="1:6">
      <c r="A639" s="183"/>
    </row>
    <row r="640" spans="1:6">
      <c r="A640" s="183"/>
    </row>
    <row r="641" spans="1:1">
      <c r="A641" s="183"/>
    </row>
    <row r="642" spans="1:1">
      <c r="A642" s="183"/>
    </row>
    <row r="643" spans="1:1">
      <c r="A643" s="183"/>
    </row>
    <row r="644" spans="1:1">
      <c r="A644" s="183"/>
    </row>
    <row r="645" spans="1:1">
      <c r="A645" s="183"/>
    </row>
    <row r="646" spans="1:1">
      <c r="A646" s="183"/>
    </row>
    <row r="647" spans="1:1">
      <c r="A647" s="183"/>
    </row>
    <row r="648" spans="1:1">
      <c r="A648" s="183"/>
    </row>
    <row r="649" spans="1:1">
      <c r="A649" s="183"/>
    </row>
    <row r="650" spans="1:1">
      <c r="A650" s="183"/>
    </row>
    <row r="651" spans="1:1">
      <c r="A651" s="183"/>
    </row>
    <row r="652" spans="1:1">
      <c r="A652" s="183"/>
    </row>
    <row r="653" spans="1:1">
      <c r="A653" s="183"/>
    </row>
    <row r="654" spans="1:1">
      <c r="A654" s="183"/>
    </row>
    <row r="655" spans="1:1">
      <c r="A655" s="183"/>
    </row>
    <row r="656" spans="1:1">
      <c r="A656" s="183"/>
    </row>
    <row r="657" spans="1:1">
      <c r="A657" s="183"/>
    </row>
  </sheetData>
  <autoFilter ref="A1:I657" xr:uid="{0DEBB2A2-4614-40C5-97F0-EE4B2F9F6FDC}"/>
  <mergeCells count="9">
    <mergeCell ref="A633:F633"/>
    <mergeCell ref="A634:F634"/>
    <mergeCell ref="A632:F632"/>
    <mergeCell ref="A626:F626"/>
    <mergeCell ref="A631:F631"/>
    <mergeCell ref="A627:F627"/>
    <mergeCell ref="A628:F628"/>
    <mergeCell ref="A629:F629"/>
    <mergeCell ref="A630:F630"/>
  </mergeCells>
  <conditionalFormatting sqref="B339:B342 B474:B492 B58:B60 B160:B162 B62:B87 B344:B345 B583:C599 B577:C579 B573:C573 B568:C569 C560:C564 B560:B563 B550:C556 B543:C546 B537:C539 B531:C533 B524:C527 B516:C520 B496:C512 C469:C492 B469:B470 B460:C465 B418:C454 B413:C414 B397:C409 B393:C393 B381:C389 B375:C377 B367:C371 C330:C342 B330:B337 B322:C325 B313:C317 B304:C309 B298:C300 B294:C294 B283:C290 B279:C279 B270:C275 B253:C266 B245:C245 B249:C249 B231:C241 B223:C227 B215:C219 B209:C211 B198:C199 C203:C205 B193:C194 B187:C189 B181:C183 B176:C177 B172:C172 B166:C168 C157:C162 B157:B158 B152:C153 B144:C148 B139:C140 B127:C128 B123:C123 B118:C119 B112:C114 B100:C101 B96:C96 B91:C92 C57:C87 B38:C53 B31:C34 B21:C27 B16:C17 B3:C12 B14:C14 B110:C110 B103:C108 B130:C130 B201:C201 C207 B221:C221 B247:C247 B379:C379 B602:C604 B607:C610 B132:C133 C606 C611:C612 B55:C55 B88:C89 B135:C137 B613:C620 B347:B355 B357:C363 C344:C356">
    <cfRule type="expression" dxfId="139" priority="140" stopIfTrue="1">
      <formula>NOT(ISERROR(SEARCH("County",B3)))</formula>
    </cfRule>
  </conditionalFormatting>
  <conditionalFormatting sqref="B159">
    <cfRule type="expression" dxfId="138" priority="139" stopIfTrue="1">
      <formula>NOT(ISERROR(SEARCH("County",B159)))</formula>
    </cfRule>
  </conditionalFormatting>
  <conditionalFormatting sqref="B203:B205 B207">
    <cfRule type="expression" dxfId="137" priority="138" stopIfTrue="1">
      <formula>NOT(ISERROR(SEARCH("County",B203)))</formula>
    </cfRule>
  </conditionalFormatting>
  <conditionalFormatting sqref="B346">
    <cfRule type="expression" dxfId="136" priority="137" stopIfTrue="1">
      <formula>NOT(ISERROR(SEARCH("County",B346)))</formula>
    </cfRule>
  </conditionalFormatting>
  <conditionalFormatting sqref="B61">
    <cfRule type="expression" dxfId="135" priority="136" stopIfTrue="1">
      <formula>NOT(ISERROR(SEARCH("County",B61)))</formula>
    </cfRule>
  </conditionalFormatting>
  <conditionalFormatting sqref="B611:C611">
    <cfRule type="expression" dxfId="134" priority="135" stopIfTrue="1">
      <formula>NOT(ISERROR(SEARCH("County",B611)))</formula>
    </cfRule>
  </conditionalFormatting>
  <conditionalFormatting sqref="B582:C582">
    <cfRule type="expression" dxfId="133" priority="134" stopIfTrue="1">
      <formula>NOT(ISERROR(SEARCH("County",B582)))</formula>
    </cfRule>
  </conditionalFormatting>
  <conditionalFormatting sqref="B605:C605">
    <cfRule type="expression" dxfId="132" priority="133" stopIfTrue="1">
      <formula>NOT(ISERROR(SEARCH("County",B605)))</formula>
    </cfRule>
  </conditionalFormatting>
  <conditionalFormatting sqref="B576:C576">
    <cfRule type="expression" dxfId="131" priority="132" stopIfTrue="1">
      <formula>NOT(ISERROR(SEARCH("County",B576)))</formula>
    </cfRule>
  </conditionalFormatting>
  <conditionalFormatting sqref="B600:C600">
    <cfRule type="expression" dxfId="130" priority="131" stopIfTrue="1">
      <formula>NOT(ISERROR(SEARCH("County",B600)))</formula>
    </cfRule>
  </conditionalFormatting>
  <conditionalFormatting sqref="B572:C572">
    <cfRule type="expression" dxfId="129" priority="130" stopIfTrue="1">
      <formula>NOT(ISERROR(SEARCH("County",B572)))</formula>
    </cfRule>
  </conditionalFormatting>
  <conditionalFormatting sqref="B580:C580">
    <cfRule type="expression" dxfId="128" priority="129" stopIfTrue="1">
      <formula>NOT(ISERROR(SEARCH("County",B580)))</formula>
    </cfRule>
  </conditionalFormatting>
  <conditionalFormatting sqref="B567:C567">
    <cfRule type="expression" dxfId="127" priority="128" stopIfTrue="1">
      <formula>NOT(ISERROR(SEARCH("County",B567)))</formula>
    </cfRule>
  </conditionalFormatting>
  <conditionalFormatting sqref="B574:C574">
    <cfRule type="expression" dxfId="126" priority="127" stopIfTrue="1">
      <formula>NOT(ISERROR(SEARCH("County",B574)))</formula>
    </cfRule>
  </conditionalFormatting>
  <conditionalFormatting sqref="B559:C559">
    <cfRule type="expression" dxfId="125" priority="126" stopIfTrue="1">
      <formula>NOT(ISERROR(SEARCH("County",B559)))</formula>
    </cfRule>
  </conditionalFormatting>
  <conditionalFormatting sqref="B570:C570">
    <cfRule type="expression" dxfId="124" priority="125" stopIfTrue="1">
      <formula>NOT(ISERROR(SEARCH("County",B570)))</formula>
    </cfRule>
  </conditionalFormatting>
  <conditionalFormatting sqref="B549:C549">
    <cfRule type="expression" dxfId="123" priority="124" stopIfTrue="1">
      <formula>NOT(ISERROR(SEARCH("County",B549)))</formula>
    </cfRule>
  </conditionalFormatting>
  <conditionalFormatting sqref="B565:C565">
    <cfRule type="expression" dxfId="122" priority="123" stopIfTrue="1">
      <formula>NOT(ISERROR(SEARCH("County",B565)))</formula>
    </cfRule>
  </conditionalFormatting>
  <conditionalFormatting sqref="B542:C542">
    <cfRule type="expression" dxfId="121" priority="122" stopIfTrue="1">
      <formula>NOT(ISERROR(SEARCH("County",B542)))</formula>
    </cfRule>
  </conditionalFormatting>
  <conditionalFormatting sqref="B557:C557">
    <cfRule type="expression" dxfId="120" priority="121" stopIfTrue="1">
      <formula>NOT(ISERROR(SEARCH("County",B557)))</formula>
    </cfRule>
  </conditionalFormatting>
  <conditionalFormatting sqref="B536:C536">
    <cfRule type="expression" dxfId="119" priority="120" stopIfTrue="1">
      <formula>NOT(ISERROR(SEARCH("County",B536)))</formula>
    </cfRule>
  </conditionalFormatting>
  <conditionalFormatting sqref="B547:C547">
    <cfRule type="expression" dxfId="118" priority="119" stopIfTrue="1">
      <formula>NOT(ISERROR(SEARCH("County",B547)))</formula>
    </cfRule>
  </conditionalFormatting>
  <conditionalFormatting sqref="B530:C530">
    <cfRule type="expression" dxfId="117" priority="118" stopIfTrue="1">
      <formula>NOT(ISERROR(SEARCH("County",B530)))</formula>
    </cfRule>
  </conditionalFormatting>
  <conditionalFormatting sqref="B540:C540">
    <cfRule type="expression" dxfId="116" priority="117" stopIfTrue="1">
      <formula>NOT(ISERROR(SEARCH("County",B540)))</formula>
    </cfRule>
  </conditionalFormatting>
  <conditionalFormatting sqref="B523:C523">
    <cfRule type="expression" dxfId="115" priority="116" stopIfTrue="1">
      <formula>NOT(ISERROR(SEARCH("County",B523)))</formula>
    </cfRule>
  </conditionalFormatting>
  <conditionalFormatting sqref="B534:C534">
    <cfRule type="expression" dxfId="114" priority="115" stopIfTrue="1">
      <formula>NOT(ISERROR(SEARCH("County",B534)))</formula>
    </cfRule>
  </conditionalFormatting>
  <conditionalFormatting sqref="B515:C515">
    <cfRule type="expression" dxfId="113" priority="114" stopIfTrue="1">
      <formula>NOT(ISERROR(SEARCH("County",B515)))</formula>
    </cfRule>
  </conditionalFormatting>
  <conditionalFormatting sqref="B528:C528">
    <cfRule type="expression" dxfId="112" priority="113" stopIfTrue="1">
      <formula>NOT(ISERROR(SEARCH("County",B528)))</formula>
    </cfRule>
  </conditionalFormatting>
  <conditionalFormatting sqref="B495:C495">
    <cfRule type="expression" dxfId="111" priority="112" stopIfTrue="1">
      <formula>NOT(ISERROR(SEARCH("County",B495)))</formula>
    </cfRule>
  </conditionalFormatting>
  <conditionalFormatting sqref="B521:C521">
    <cfRule type="expression" dxfId="110" priority="111" stopIfTrue="1">
      <formula>NOT(ISERROR(SEARCH("County",B521)))</formula>
    </cfRule>
  </conditionalFormatting>
  <conditionalFormatting sqref="B468:C468">
    <cfRule type="expression" dxfId="109" priority="110" stopIfTrue="1">
      <formula>NOT(ISERROR(SEARCH("County",B468)))</formula>
    </cfRule>
  </conditionalFormatting>
  <conditionalFormatting sqref="B513:C513">
    <cfRule type="expression" dxfId="108" priority="109" stopIfTrue="1">
      <formula>NOT(ISERROR(SEARCH("County",B513)))</formula>
    </cfRule>
  </conditionalFormatting>
  <conditionalFormatting sqref="B459:C459">
    <cfRule type="expression" dxfId="107" priority="108" stopIfTrue="1">
      <formula>NOT(ISERROR(SEARCH("County",B459)))</formula>
    </cfRule>
  </conditionalFormatting>
  <conditionalFormatting sqref="B493:C493">
    <cfRule type="expression" dxfId="106" priority="107" stopIfTrue="1">
      <formula>NOT(ISERROR(SEARCH("County",B493)))</formula>
    </cfRule>
  </conditionalFormatting>
  <conditionalFormatting sqref="B417:C417">
    <cfRule type="expression" dxfId="105" priority="106" stopIfTrue="1">
      <formula>NOT(ISERROR(SEARCH("County",B417)))</formula>
    </cfRule>
  </conditionalFormatting>
  <conditionalFormatting sqref="B466:C466">
    <cfRule type="expression" dxfId="104" priority="105" stopIfTrue="1">
      <formula>NOT(ISERROR(SEARCH("County",B466)))</formula>
    </cfRule>
  </conditionalFormatting>
  <conditionalFormatting sqref="B412:C412">
    <cfRule type="expression" dxfId="103" priority="104" stopIfTrue="1">
      <formula>NOT(ISERROR(SEARCH("County",B412)))</formula>
    </cfRule>
  </conditionalFormatting>
  <conditionalFormatting sqref="B457:C457">
    <cfRule type="expression" dxfId="102" priority="103" stopIfTrue="1">
      <formula>NOT(ISERROR(SEARCH("County",B457)))</formula>
    </cfRule>
  </conditionalFormatting>
  <conditionalFormatting sqref="B396:C396">
    <cfRule type="expression" dxfId="101" priority="102" stopIfTrue="1">
      <formula>NOT(ISERROR(SEARCH("County",B396)))</formula>
    </cfRule>
  </conditionalFormatting>
  <conditionalFormatting sqref="B415:C415">
    <cfRule type="expression" dxfId="100" priority="101" stopIfTrue="1">
      <formula>NOT(ISERROR(SEARCH("County",B415)))</formula>
    </cfRule>
  </conditionalFormatting>
  <conditionalFormatting sqref="B392:C392">
    <cfRule type="expression" dxfId="99" priority="100" stopIfTrue="1">
      <formula>NOT(ISERROR(SEARCH("County",B392)))</formula>
    </cfRule>
  </conditionalFormatting>
  <conditionalFormatting sqref="B410:C410">
    <cfRule type="expression" dxfId="98" priority="99" stopIfTrue="1">
      <formula>NOT(ISERROR(SEARCH("County",B410)))</formula>
    </cfRule>
  </conditionalFormatting>
  <conditionalFormatting sqref="B380:C380">
    <cfRule type="expression" dxfId="97" priority="98" stopIfTrue="1">
      <formula>NOT(ISERROR(SEARCH("County",B380)))</formula>
    </cfRule>
  </conditionalFormatting>
  <conditionalFormatting sqref="B394:C394">
    <cfRule type="expression" dxfId="96" priority="97" stopIfTrue="1">
      <formula>NOT(ISERROR(SEARCH("County",B394)))</formula>
    </cfRule>
  </conditionalFormatting>
  <conditionalFormatting sqref="B374:C374">
    <cfRule type="expression" dxfId="95" priority="96" stopIfTrue="1">
      <formula>NOT(ISERROR(SEARCH("County",B374)))</formula>
    </cfRule>
  </conditionalFormatting>
  <conditionalFormatting sqref="B390:C390">
    <cfRule type="expression" dxfId="94" priority="95" stopIfTrue="1">
      <formula>NOT(ISERROR(SEARCH("County",B390)))</formula>
    </cfRule>
  </conditionalFormatting>
  <conditionalFormatting sqref="B366:C366">
    <cfRule type="expression" dxfId="93" priority="94" stopIfTrue="1">
      <formula>NOT(ISERROR(SEARCH("County",B366)))</formula>
    </cfRule>
  </conditionalFormatting>
  <conditionalFormatting sqref="B378:C378">
    <cfRule type="expression" dxfId="92" priority="93" stopIfTrue="1">
      <formula>NOT(ISERROR(SEARCH("County",B378)))</formula>
    </cfRule>
  </conditionalFormatting>
  <conditionalFormatting sqref="B328:C328">
    <cfRule type="expression" dxfId="91" priority="92" stopIfTrue="1">
      <formula>NOT(ISERROR(SEARCH("County",B328)))</formula>
    </cfRule>
  </conditionalFormatting>
  <conditionalFormatting sqref="B372:C372">
    <cfRule type="expression" dxfId="90" priority="91" stopIfTrue="1">
      <formula>NOT(ISERROR(SEARCH("County",B372)))</formula>
    </cfRule>
  </conditionalFormatting>
  <conditionalFormatting sqref="B320:C320 B329:C329">
    <cfRule type="expression" dxfId="89" priority="90" stopIfTrue="1">
      <formula>NOT(ISERROR(SEARCH("County",B320)))</formula>
    </cfRule>
  </conditionalFormatting>
  <conditionalFormatting sqref="B364:C364">
    <cfRule type="expression" dxfId="88" priority="89" stopIfTrue="1">
      <formula>NOT(ISERROR(SEARCH("County",B364)))</formula>
    </cfRule>
  </conditionalFormatting>
  <conditionalFormatting sqref="B312:C312">
    <cfRule type="expression" dxfId="87" priority="88" stopIfTrue="1">
      <formula>NOT(ISERROR(SEARCH("County",B312)))</formula>
    </cfRule>
  </conditionalFormatting>
  <conditionalFormatting sqref="B326:C326">
    <cfRule type="expression" dxfId="86" priority="87" stopIfTrue="1">
      <formula>NOT(ISERROR(SEARCH("County",B326)))</formula>
    </cfRule>
  </conditionalFormatting>
  <conditionalFormatting sqref="B303:C303">
    <cfRule type="expression" dxfId="85" priority="86" stopIfTrue="1">
      <formula>NOT(ISERROR(SEARCH("County",B303)))</formula>
    </cfRule>
  </conditionalFormatting>
  <conditionalFormatting sqref="B318:C318">
    <cfRule type="expression" dxfId="84" priority="85" stopIfTrue="1">
      <formula>NOT(ISERROR(SEARCH("County",B318)))</formula>
    </cfRule>
  </conditionalFormatting>
  <conditionalFormatting sqref="B297:C297">
    <cfRule type="expression" dxfId="83" priority="84" stopIfTrue="1">
      <formula>NOT(ISERROR(SEARCH("County",B297)))</formula>
    </cfRule>
  </conditionalFormatting>
  <conditionalFormatting sqref="B310:C310">
    <cfRule type="expression" dxfId="82" priority="83" stopIfTrue="1">
      <formula>NOT(ISERROR(SEARCH("County",B310)))</formula>
    </cfRule>
  </conditionalFormatting>
  <conditionalFormatting sqref="B293:C293">
    <cfRule type="expression" dxfId="81" priority="82" stopIfTrue="1">
      <formula>NOT(ISERROR(SEARCH("County",B293)))</formula>
    </cfRule>
  </conditionalFormatting>
  <conditionalFormatting sqref="B301:C301">
    <cfRule type="expression" dxfId="80" priority="81" stopIfTrue="1">
      <formula>NOT(ISERROR(SEARCH("County",B301)))</formula>
    </cfRule>
  </conditionalFormatting>
  <conditionalFormatting sqref="B282:C282">
    <cfRule type="expression" dxfId="79" priority="80" stopIfTrue="1">
      <formula>NOT(ISERROR(SEARCH("County",B282)))</formula>
    </cfRule>
  </conditionalFormatting>
  <conditionalFormatting sqref="B295:C295">
    <cfRule type="expression" dxfId="78" priority="79" stopIfTrue="1">
      <formula>NOT(ISERROR(SEARCH("County",B295)))</formula>
    </cfRule>
  </conditionalFormatting>
  <conditionalFormatting sqref="B278:C278">
    <cfRule type="expression" dxfId="77" priority="78" stopIfTrue="1">
      <formula>NOT(ISERROR(SEARCH("County",B278)))</formula>
    </cfRule>
  </conditionalFormatting>
  <conditionalFormatting sqref="B291:C291">
    <cfRule type="expression" dxfId="76" priority="77" stopIfTrue="1">
      <formula>NOT(ISERROR(SEARCH("County",B291)))</formula>
    </cfRule>
  </conditionalFormatting>
  <conditionalFormatting sqref="B269:C269">
    <cfRule type="expression" dxfId="75" priority="76" stopIfTrue="1">
      <formula>NOT(ISERROR(SEARCH("County",B269)))</formula>
    </cfRule>
  </conditionalFormatting>
  <conditionalFormatting sqref="B280:C280">
    <cfRule type="expression" dxfId="74" priority="75" stopIfTrue="1">
      <formula>NOT(ISERROR(SEARCH("County",B280)))</formula>
    </cfRule>
  </conditionalFormatting>
  <conditionalFormatting sqref="B252:C252">
    <cfRule type="expression" dxfId="73" priority="74" stopIfTrue="1">
      <formula>NOT(ISERROR(SEARCH("County",B252)))</formula>
    </cfRule>
  </conditionalFormatting>
  <conditionalFormatting sqref="B276:C276">
    <cfRule type="expression" dxfId="72" priority="73" stopIfTrue="1">
      <formula>NOT(ISERROR(SEARCH("County",B276)))</formula>
    </cfRule>
  </conditionalFormatting>
  <conditionalFormatting sqref="B248:C248">
    <cfRule type="expression" dxfId="71" priority="72" stopIfTrue="1">
      <formula>NOT(ISERROR(SEARCH("County",B248)))</formula>
    </cfRule>
  </conditionalFormatting>
  <conditionalFormatting sqref="B267:C267">
    <cfRule type="expression" dxfId="70" priority="71" stopIfTrue="1">
      <formula>NOT(ISERROR(SEARCH("County",B267)))</formula>
    </cfRule>
  </conditionalFormatting>
  <conditionalFormatting sqref="B230:C230">
    <cfRule type="expression" dxfId="69" priority="70" stopIfTrue="1">
      <formula>NOT(ISERROR(SEARCH("County",B230)))</formula>
    </cfRule>
  </conditionalFormatting>
  <conditionalFormatting sqref="B246:C246">
    <cfRule type="expression" dxfId="68" priority="69" stopIfTrue="1">
      <formula>NOT(ISERROR(SEARCH("County",B246)))</formula>
    </cfRule>
  </conditionalFormatting>
  <conditionalFormatting sqref="B244:C244">
    <cfRule type="expression" dxfId="67" priority="68" stopIfTrue="1">
      <formula>NOT(ISERROR(SEARCH("County",B244)))</formula>
    </cfRule>
  </conditionalFormatting>
  <conditionalFormatting sqref="B250:C250">
    <cfRule type="expression" dxfId="66" priority="67" stopIfTrue="1">
      <formula>NOT(ISERROR(SEARCH("County",B250)))</formula>
    </cfRule>
  </conditionalFormatting>
  <conditionalFormatting sqref="B222:C222">
    <cfRule type="expression" dxfId="65" priority="66" stopIfTrue="1">
      <formula>NOT(ISERROR(SEARCH("County",B222)))</formula>
    </cfRule>
  </conditionalFormatting>
  <conditionalFormatting sqref="B242:C242">
    <cfRule type="expression" dxfId="64" priority="65" stopIfTrue="1">
      <formula>NOT(ISERROR(SEARCH("County",B242)))</formula>
    </cfRule>
  </conditionalFormatting>
  <conditionalFormatting sqref="B214:C214">
    <cfRule type="expression" dxfId="63" priority="64" stopIfTrue="1">
      <formula>NOT(ISERROR(SEARCH("County",B214)))</formula>
    </cfRule>
  </conditionalFormatting>
  <conditionalFormatting sqref="B228:C228">
    <cfRule type="expression" dxfId="62" priority="63" stopIfTrue="1">
      <formula>NOT(ISERROR(SEARCH("County",B228)))</formula>
    </cfRule>
  </conditionalFormatting>
  <conditionalFormatting sqref="B208:C208">
    <cfRule type="expression" dxfId="61" priority="62" stopIfTrue="1">
      <formula>NOT(ISERROR(SEARCH("County",B208)))</formula>
    </cfRule>
  </conditionalFormatting>
  <conditionalFormatting sqref="B220:C220">
    <cfRule type="expression" dxfId="60" priority="61" stopIfTrue="1">
      <formula>NOT(ISERROR(SEARCH("County",B220)))</formula>
    </cfRule>
  </conditionalFormatting>
  <conditionalFormatting sqref="B202:C202">
    <cfRule type="expression" dxfId="59" priority="60" stopIfTrue="1">
      <formula>NOT(ISERROR(SEARCH("County",B202)))</formula>
    </cfRule>
  </conditionalFormatting>
  <conditionalFormatting sqref="B212:C212">
    <cfRule type="expression" dxfId="58" priority="59" stopIfTrue="1">
      <formula>NOT(ISERROR(SEARCH("County",B212)))</formula>
    </cfRule>
  </conditionalFormatting>
  <conditionalFormatting sqref="B192:C192">
    <cfRule type="expression" dxfId="57" priority="58" stopIfTrue="1">
      <formula>NOT(ISERROR(SEARCH("County",B192)))</formula>
    </cfRule>
  </conditionalFormatting>
  <conditionalFormatting sqref="B200:C200">
    <cfRule type="expression" dxfId="56" priority="57" stopIfTrue="1">
      <formula>NOT(ISERROR(SEARCH("County",B200)))</formula>
    </cfRule>
  </conditionalFormatting>
  <conditionalFormatting sqref="B197:C197">
    <cfRule type="expression" dxfId="55" priority="56" stopIfTrue="1">
      <formula>NOT(ISERROR(SEARCH("County",B197)))</formula>
    </cfRule>
  </conditionalFormatting>
  <conditionalFormatting sqref="B206:C206">
    <cfRule type="expression" dxfId="54" priority="55" stopIfTrue="1">
      <formula>NOT(ISERROR(SEARCH("County",B206)))</formula>
    </cfRule>
  </conditionalFormatting>
  <conditionalFormatting sqref="B186:C186">
    <cfRule type="expression" dxfId="53" priority="54" stopIfTrue="1">
      <formula>NOT(ISERROR(SEARCH("County",B186)))</formula>
    </cfRule>
  </conditionalFormatting>
  <conditionalFormatting sqref="B195:C195">
    <cfRule type="expression" dxfId="52" priority="53" stopIfTrue="1">
      <formula>NOT(ISERROR(SEARCH("County",B195)))</formula>
    </cfRule>
  </conditionalFormatting>
  <conditionalFormatting sqref="B180:C180">
    <cfRule type="expression" dxfId="51" priority="52" stopIfTrue="1">
      <formula>NOT(ISERROR(SEARCH("County",B180)))</formula>
    </cfRule>
  </conditionalFormatting>
  <conditionalFormatting sqref="B190:C190">
    <cfRule type="expression" dxfId="50" priority="51" stopIfTrue="1">
      <formula>NOT(ISERROR(SEARCH("County",B190)))</formula>
    </cfRule>
  </conditionalFormatting>
  <conditionalFormatting sqref="B175:C175">
    <cfRule type="expression" dxfId="49" priority="50" stopIfTrue="1">
      <formula>NOT(ISERROR(SEARCH("County",B175)))</formula>
    </cfRule>
  </conditionalFormatting>
  <conditionalFormatting sqref="B184:C184">
    <cfRule type="expression" dxfId="48" priority="49" stopIfTrue="1">
      <formula>NOT(ISERROR(SEARCH("County",B184)))</formula>
    </cfRule>
  </conditionalFormatting>
  <conditionalFormatting sqref="B171:C171">
    <cfRule type="expression" dxfId="47" priority="48" stopIfTrue="1">
      <formula>NOT(ISERROR(SEARCH("County",B171)))</formula>
    </cfRule>
  </conditionalFormatting>
  <conditionalFormatting sqref="B178:C178">
    <cfRule type="expression" dxfId="46" priority="47" stopIfTrue="1">
      <formula>NOT(ISERROR(SEARCH("County",B178)))</formula>
    </cfRule>
  </conditionalFormatting>
  <conditionalFormatting sqref="B165:C165">
    <cfRule type="expression" dxfId="45" priority="46" stopIfTrue="1">
      <formula>NOT(ISERROR(SEARCH("County",B165)))</formula>
    </cfRule>
  </conditionalFormatting>
  <conditionalFormatting sqref="B173:C173">
    <cfRule type="expression" dxfId="44" priority="45" stopIfTrue="1">
      <formula>NOT(ISERROR(SEARCH("County",B173)))</formula>
    </cfRule>
  </conditionalFormatting>
  <conditionalFormatting sqref="B156:C156">
    <cfRule type="expression" dxfId="43" priority="44" stopIfTrue="1">
      <formula>NOT(ISERROR(SEARCH("County",B156)))</formula>
    </cfRule>
  </conditionalFormatting>
  <conditionalFormatting sqref="B169:C169">
    <cfRule type="expression" dxfId="42" priority="43" stopIfTrue="1">
      <formula>NOT(ISERROR(SEARCH("County",B169)))</formula>
    </cfRule>
  </conditionalFormatting>
  <conditionalFormatting sqref="B151:C151">
    <cfRule type="expression" dxfId="41" priority="42" stopIfTrue="1">
      <formula>NOT(ISERROR(SEARCH("County",B151)))</formula>
    </cfRule>
  </conditionalFormatting>
  <conditionalFormatting sqref="B163:C163">
    <cfRule type="expression" dxfId="40" priority="41" stopIfTrue="1">
      <formula>NOT(ISERROR(SEARCH("County",B163)))</formula>
    </cfRule>
  </conditionalFormatting>
  <conditionalFormatting sqref="B143:C143">
    <cfRule type="expression" dxfId="39" priority="40" stopIfTrue="1">
      <formula>NOT(ISERROR(SEARCH("County",B143)))</formula>
    </cfRule>
  </conditionalFormatting>
  <conditionalFormatting sqref="B154:C154">
    <cfRule type="expression" dxfId="38" priority="39" stopIfTrue="1">
      <formula>NOT(ISERROR(SEARCH("County",B154)))</formula>
    </cfRule>
  </conditionalFormatting>
  <conditionalFormatting sqref="B138:C138">
    <cfRule type="expression" dxfId="37" priority="38" stopIfTrue="1">
      <formula>NOT(ISERROR(SEARCH("County",B138)))</formula>
    </cfRule>
  </conditionalFormatting>
  <conditionalFormatting sqref="B149:C149">
    <cfRule type="expression" dxfId="36" priority="37" stopIfTrue="1">
      <formula>NOT(ISERROR(SEARCH("County",B149)))</formula>
    </cfRule>
  </conditionalFormatting>
  <conditionalFormatting sqref="B131:C131">
    <cfRule type="expression" dxfId="35" priority="36" stopIfTrue="1">
      <formula>NOT(ISERROR(SEARCH("County",B131)))</formula>
    </cfRule>
  </conditionalFormatting>
  <conditionalFormatting sqref="B141:C141">
    <cfRule type="expression" dxfId="34" priority="35" stopIfTrue="1">
      <formula>NOT(ISERROR(SEARCH("County",B141)))</formula>
    </cfRule>
  </conditionalFormatting>
  <conditionalFormatting sqref="B126:C126">
    <cfRule type="expression" dxfId="33" priority="34" stopIfTrue="1">
      <formula>NOT(ISERROR(SEARCH("County",B126)))</formula>
    </cfRule>
  </conditionalFormatting>
  <conditionalFormatting sqref="B134:C134">
    <cfRule type="expression" dxfId="32" priority="33" stopIfTrue="1">
      <formula>NOT(ISERROR(SEARCH("County",B134)))</formula>
    </cfRule>
  </conditionalFormatting>
  <conditionalFormatting sqref="B122:C122">
    <cfRule type="expression" dxfId="31" priority="32" stopIfTrue="1">
      <formula>NOT(ISERROR(SEARCH("County",B122)))</formula>
    </cfRule>
  </conditionalFormatting>
  <conditionalFormatting sqref="B129:C129">
    <cfRule type="expression" dxfId="30" priority="31" stopIfTrue="1">
      <formula>NOT(ISERROR(SEARCH("County",B129)))</formula>
    </cfRule>
  </conditionalFormatting>
  <conditionalFormatting sqref="B117:C117">
    <cfRule type="expression" dxfId="29" priority="30" stopIfTrue="1">
      <formula>NOT(ISERROR(SEARCH("County",B117)))</formula>
    </cfRule>
  </conditionalFormatting>
  <conditionalFormatting sqref="B124:C124">
    <cfRule type="expression" dxfId="28" priority="29" stopIfTrue="1">
      <formula>NOT(ISERROR(SEARCH("County",B124)))</formula>
    </cfRule>
  </conditionalFormatting>
  <conditionalFormatting sqref="B111:C111">
    <cfRule type="expression" dxfId="27" priority="28" stopIfTrue="1">
      <formula>NOT(ISERROR(SEARCH("County",B111)))</formula>
    </cfRule>
  </conditionalFormatting>
  <conditionalFormatting sqref="B120:C120">
    <cfRule type="expression" dxfId="26" priority="27" stopIfTrue="1">
      <formula>NOT(ISERROR(SEARCH("County",B120)))</formula>
    </cfRule>
  </conditionalFormatting>
  <conditionalFormatting sqref="B115:C115">
    <cfRule type="expression" dxfId="25" priority="26" stopIfTrue="1">
      <formula>NOT(ISERROR(SEARCH("County",B115)))</formula>
    </cfRule>
  </conditionalFormatting>
  <conditionalFormatting sqref="B99:C99">
    <cfRule type="expression" dxfId="24" priority="25" stopIfTrue="1">
      <formula>NOT(ISERROR(SEARCH("County",B99)))</formula>
    </cfRule>
  </conditionalFormatting>
  <conditionalFormatting sqref="B109:C109">
    <cfRule type="expression" dxfId="23" priority="24" stopIfTrue="1">
      <formula>NOT(ISERROR(SEARCH("County",B109)))</formula>
    </cfRule>
  </conditionalFormatting>
  <conditionalFormatting sqref="B95:C95">
    <cfRule type="expression" dxfId="22" priority="23" stopIfTrue="1">
      <formula>NOT(ISERROR(SEARCH("County",B95)))</formula>
    </cfRule>
  </conditionalFormatting>
  <conditionalFormatting sqref="B102:C102">
    <cfRule type="expression" dxfId="21" priority="22" stopIfTrue="1">
      <formula>NOT(ISERROR(SEARCH("County",B102)))</formula>
    </cfRule>
  </conditionalFormatting>
  <conditionalFormatting sqref="B90:C90">
    <cfRule type="expression" dxfId="20" priority="21" stopIfTrue="1">
      <formula>NOT(ISERROR(SEARCH("County",B90)))</formula>
    </cfRule>
  </conditionalFormatting>
  <conditionalFormatting sqref="B97:C98">
    <cfRule type="expression" dxfId="19" priority="20" stopIfTrue="1">
      <formula>NOT(ISERROR(SEARCH("County",B97)))</formula>
    </cfRule>
  </conditionalFormatting>
  <conditionalFormatting sqref="B56:C56">
    <cfRule type="expression" dxfId="18" priority="19" stopIfTrue="1">
      <formula>NOT(ISERROR(SEARCH("County",B56)))</formula>
    </cfRule>
  </conditionalFormatting>
  <conditionalFormatting sqref="B93:C93">
    <cfRule type="expression" dxfId="17" priority="18" stopIfTrue="1">
      <formula>NOT(ISERROR(SEARCH("County",B93)))</formula>
    </cfRule>
  </conditionalFormatting>
  <conditionalFormatting sqref="B37:C37">
    <cfRule type="expression" dxfId="16" priority="17" stopIfTrue="1">
      <formula>NOT(ISERROR(SEARCH("County",B37)))</formula>
    </cfRule>
  </conditionalFormatting>
  <conditionalFormatting sqref="B30:C30">
    <cfRule type="expression" dxfId="15" priority="16" stopIfTrue="1">
      <formula>NOT(ISERROR(SEARCH("County",B30)))</formula>
    </cfRule>
  </conditionalFormatting>
  <conditionalFormatting sqref="B54:C54">
    <cfRule type="expression" dxfId="14" priority="15" stopIfTrue="1">
      <formula>NOT(ISERROR(SEARCH("County",B54)))</formula>
    </cfRule>
  </conditionalFormatting>
  <conditionalFormatting sqref="B20:C20">
    <cfRule type="expression" dxfId="13" priority="14" stopIfTrue="1">
      <formula>NOT(ISERROR(SEARCH("County",B20)))</formula>
    </cfRule>
  </conditionalFormatting>
  <conditionalFormatting sqref="B35:C35">
    <cfRule type="expression" dxfId="12" priority="13" stopIfTrue="1">
      <formula>NOT(ISERROR(SEARCH("County",B35)))</formula>
    </cfRule>
  </conditionalFormatting>
  <conditionalFormatting sqref="B15:C15">
    <cfRule type="expression" dxfId="11" priority="12" stopIfTrue="1">
      <formula>NOT(ISERROR(SEARCH("County",B15)))</formula>
    </cfRule>
  </conditionalFormatting>
  <conditionalFormatting sqref="B28:C28">
    <cfRule type="expression" dxfId="10" priority="11" stopIfTrue="1">
      <formula>NOT(ISERROR(SEARCH("County",B28)))</formula>
    </cfRule>
  </conditionalFormatting>
  <conditionalFormatting sqref="B18:C18">
    <cfRule type="expression" dxfId="9" priority="10" stopIfTrue="1">
      <formula>NOT(ISERROR(SEARCH("County",B18)))</formula>
    </cfRule>
  </conditionalFormatting>
  <conditionalFormatting sqref="B13:C13">
    <cfRule type="expression" dxfId="8" priority="9" stopIfTrue="1">
      <formula>NOT(ISERROR(SEARCH("County",B13)))</formula>
    </cfRule>
  </conditionalFormatting>
  <conditionalFormatting sqref="B455:C455">
    <cfRule type="expression" dxfId="7" priority="8" stopIfTrue="1">
      <formula>NOT(ISERROR(SEARCH("County",B455)))</formula>
    </cfRule>
  </conditionalFormatting>
  <conditionalFormatting sqref="B456:C456">
    <cfRule type="expression" dxfId="6" priority="7" stopIfTrue="1">
      <formula>NOT(ISERROR(SEARCH("County",B456)))</formula>
    </cfRule>
  </conditionalFormatting>
  <conditionalFormatting sqref="B321:C321">
    <cfRule type="expression" dxfId="5" priority="6" stopIfTrue="1">
      <formula>NOT(ISERROR(SEARCH("County",B321)))</formula>
    </cfRule>
  </conditionalFormatting>
  <conditionalFormatting sqref="B356">
    <cfRule type="expression" dxfId="4" priority="5" stopIfTrue="1">
      <formula>NOT(ISERROR(SEARCH("County",B356)))</formula>
    </cfRule>
  </conditionalFormatting>
  <conditionalFormatting sqref="B343:C343">
    <cfRule type="expression" dxfId="3" priority="4" stopIfTrue="1">
      <formula>NOT(ISERROR(SEARCH("County",B343)))</formula>
    </cfRule>
  </conditionalFormatting>
  <conditionalFormatting sqref="D620">
    <cfRule type="expression" dxfId="2" priority="3" stopIfTrue="1">
      <formula>NOT(ISERROR(SEARCH("County",D620)))</formula>
    </cfRule>
  </conditionalFormatting>
  <conditionalFormatting sqref="E620">
    <cfRule type="expression" dxfId="1" priority="2" stopIfTrue="1">
      <formula>NOT(ISERROR(SEARCH("County",E620)))</formula>
    </cfRule>
  </conditionalFormatting>
  <conditionalFormatting sqref="F620">
    <cfRule type="expression" dxfId="0" priority="1" stopIfTrue="1">
      <formula>NOT(ISERROR(SEARCH("County",F620)))</formula>
    </cfRule>
  </conditionalFormatting>
  <printOptions horizontalCentered="1"/>
  <pageMargins left="0.7" right="0.7" top="0.75" bottom="0.5" header="0.5" footer="0.3"/>
  <pageSetup scale="64" fitToHeight="10" orientation="portrait" r:id="rId1"/>
  <headerFooter differentFirst="1">
    <firstHeader>&amp;C&amp;"-,Bold"&amp;12Florida Population Estimates for Counties and Municipalities
April 1, 2016</firstHeader>
  </headerFooter>
  <rowBreaks count="9" manualBreakCount="9">
    <brk id="72" max="5" man="1"/>
    <brk id="140" max="16383" man="1"/>
    <brk id="204" max="16383" man="1"/>
    <brk id="271" max="16383" man="1"/>
    <brk id="329" max="16383" man="1"/>
    <brk id="393" max="16383" man="1"/>
    <brk id="459" max="16383" man="1"/>
    <brk id="515" max="16383" man="1"/>
    <brk id="58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73"/>
  <sheetViews>
    <sheetView workbookViewId="0">
      <selection activeCell="B27" sqref="B27"/>
    </sheetView>
  </sheetViews>
  <sheetFormatPr defaultColWidth="8.7109375" defaultRowHeight="15"/>
  <cols>
    <col min="1" max="1" width="14.5703125" style="223" customWidth="1"/>
    <col min="2" max="16384" width="8.7109375" style="223"/>
  </cols>
  <sheetData>
    <row r="1" spans="1:17">
      <c r="A1" t="s">
        <v>593</v>
      </c>
    </row>
    <row r="2" spans="1:17" s="216" customFormat="1" ht="12">
      <c r="A2" s="212"/>
      <c r="B2" s="213"/>
      <c r="C2" s="214"/>
      <c r="D2" s="214"/>
      <c r="E2" s="214"/>
      <c r="F2" s="214"/>
      <c r="G2" s="215"/>
      <c r="H2" s="215"/>
      <c r="I2" s="215"/>
      <c r="J2" s="215"/>
      <c r="K2" s="215"/>
      <c r="L2" s="215"/>
      <c r="M2" s="215"/>
      <c r="N2" s="215"/>
      <c r="O2" s="215"/>
      <c r="P2" s="215"/>
      <c r="Q2" s="215"/>
    </row>
    <row r="3" spans="1:17" s="216" customFormat="1" ht="12.75" thickBot="1">
      <c r="A3" s="212" t="s">
        <v>594</v>
      </c>
      <c r="B3" s="213" t="s">
        <v>595</v>
      </c>
      <c r="C3" s="214"/>
      <c r="D3" s="214"/>
      <c r="E3" s="214"/>
      <c r="F3" s="214"/>
      <c r="G3" s="215"/>
      <c r="H3" s="215"/>
      <c r="I3" s="215"/>
      <c r="J3" s="215"/>
      <c r="K3" s="215"/>
      <c r="L3" s="215"/>
      <c r="M3" s="215"/>
      <c r="N3" s="215"/>
      <c r="O3" s="215"/>
      <c r="P3" s="215"/>
      <c r="Q3" s="215"/>
    </row>
    <row r="4" spans="1:17" s="216" customFormat="1" ht="14.25" thickTop="1" thickBot="1">
      <c r="A4" s="217" t="s">
        <v>515</v>
      </c>
      <c r="B4" s="218" t="s">
        <v>535</v>
      </c>
      <c r="C4" s="214"/>
      <c r="D4" s="214"/>
      <c r="E4" s="214"/>
      <c r="F4" s="214"/>
      <c r="G4" s="215"/>
      <c r="H4" s="215"/>
      <c r="I4" s="215"/>
      <c r="J4" s="215"/>
      <c r="K4" s="215"/>
      <c r="L4" s="215"/>
      <c r="M4" s="215"/>
      <c r="N4" s="215"/>
      <c r="O4" s="215"/>
      <c r="P4" s="215"/>
      <c r="Q4" s="215"/>
    </row>
    <row r="5" spans="1:17" s="216" customFormat="1" ht="13.5" thickBot="1">
      <c r="A5" s="219" t="s">
        <v>537</v>
      </c>
      <c r="B5" s="220" t="s">
        <v>534</v>
      </c>
      <c r="C5" s="214"/>
      <c r="D5" s="214"/>
      <c r="E5" s="214"/>
      <c r="F5" s="214"/>
      <c r="G5" s="215"/>
      <c r="H5" s="215"/>
      <c r="I5" s="215"/>
      <c r="J5" s="215"/>
      <c r="K5" s="215"/>
      <c r="L5" s="215"/>
      <c r="M5" s="215"/>
      <c r="N5" s="215"/>
      <c r="O5" s="215"/>
      <c r="P5" s="215"/>
      <c r="Q5" s="215"/>
    </row>
    <row r="6" spans="1:17" s="216" customFormat="1" ht="13.5" thickBot="1">
      <c r="A6" s="219" t="s">
        <v>538</v>
      </c>
      <c r="B6" s="218" t="s">
        <v>535</v>
      </c>
      <c r="C6" s="214"/>
      <c r="D6" s="214"/>
      <c r="E6" s="214"/>
      <c r="F6" s="214"/>
      <c r="G6" s="215"/>
      <c r="H6" s="215"/>
      <c r="I6" s="215"/>
      <c r="J6" s="215"/>
      <c r="K6" s="215"/>
      <c r="L6" s="215"/>
      <c r="M6" s="215"/>
      <c r="N6" s="215"/>
      <c r="O6" s="215"/>
      <c r="P6" s="215"/>
      <c r="Q6" s="215"/>
    </row>
    <row r="7" spans="1:17" s="216" customFormat="1" ht="13.5" thickBot="1">
      <c r="A7" s="219" t="s">
        <v>539</v>
      </c>
      <c r="B7" s="220" t="s">
        <v>534</v>
      </c>
      <c r="C7" s="214"/>
      <c r="D7" s="214"/>
      <c r="E7" s="214"/>
      <c r="F7" s="214"/>
      <c r="G7" s="215"/>
      <c r="H7" s="215"/>
      <c r="I7" s="215"/>
      <c r="J7" s="215"/>
      <c r="K7" s="215"/>
      <c r="L7" s="215"/>
      <c r="M7" s="215"/>
      <c r="N7" s="215"/>
      <c r="O7" s="215"/>
      <c r="P7" s="215"/>
      <c r="Q7" s="215"/>
    </row>
    <row r="8" spans="1:17" s="216" customFormat="1" ht="13.5" thickBot="1">
      <c r="A8" s="219" t="s">
        <v>540</v>
      </c>
      <c r="B8" s="218" t="s">
        <v>535</v>
      </c>
      <c r="C8" s="214"/>
      <c r="D8" s="214"/>
      <c r="E8" s="214"/>
      <c r="F8" s="214"/>
      <c r="G8" s="215"/>
      <c r="H8" s="215"/>
      <c r="I8" s="215"/>
      <c r="J8" s="215"/>
      <c r="K8" s="215"/>
      <c r="L8" s="215"/>
      <c r="M8" s="215"/>
      <c r="N8" s="215"/>
      <c r="O8" s="215"/>
      <c r="P8" s="215"/>
      <c r="Q8" s="215"/>
    </row>
    <row r="9" spans="1:17" s="216" customFormat="1" ht="13.5" thickBot="1">
      <c r="A9" s="219" t="s">
        <v>541</v>
      </c>
      <c r="B9" s="218" t="s">
        <v>536</v>
      </c>
      <c r="C9" s="214"/>
      <c r="D9" s="214"/>
      <c r="E9" s="214"/>
      <c r="F9" s="214"/>
      <c r="G9" s="215"/>
      <c r="H9" s="215"/>
      <c r="I9" s="215"/>
      <c r="J9" s="215"/>
      <c r="K9" s="215"/>
      <c r="L9" s="215"/>
      <c r="M9" s="215"/>
      <c r="N9" s="215"/>
      <c r="O9" s="215"/>
      <c r="P9" s="215"/>
      <c r="Q9" s="215"/>
    </row>
    <row r="10" spans="1:17" s="216" customFormat="1" ht="13.5" thickBot="1">
      <c r="A10" s="219" t="s">
        <v>542</v>
      </c>
      <c r="B10" s="220" t="s">
        <v>534</v>
      </c>
      <c r="C10" s="214"/>
      <c r="D10" s="214"/>
      <c r="E10" s="214"/>
      <c r="F10" s="214"/>
      <c r="G10" s="215"/>
      <c r="H10" s="215"/>
      <c r="I10" s="215"/>
      <c r="J10" s="215"/>
      <c r="K10" s="215"/>
      <c r="L10" s="215"/>
      <c r="M10" s="215"/>
      <c r="N10" s="215"/>
      <c r="O10" s="215"/>
      <c r="P10" s="215"/>
      <c r="Q10" s="215"/>
    </row>
    <row r="11" spans="1:17" s="216" customFormat="1" ht="13.5" thickBot="1">
      <c r="A11" s="219" t="s">
        <v>543</v>
      </c>
      <c r="B11" s="218" t="s">
        <v>535</v>
      </c>
      <c r="C11" s="214"/>
      <c r="D11" s="214"/>
      <c r="E11" s="214"/>
      <c r="F11" s="214"/>
      <c r="G11" s="215"/>
      <c r="H11" s="215"/>
      <c r="I11" s="215"/>
      <c r="J11" s="215"/>
      <c r="K11" s="215"/>
      <c r="L11" s="215"/>
      <c r="M11" s="215"/>
      <c r="N11" s="215"/>
      <c r="O11" s="215"/>
      <c r="P11" s="215"/>
      <c r="Q11" s="215"/>
    </row>
    <row r="12" spans="1:17" s="216" customFormat="1" ht="13.5" thickBot="1">
      <c r="A12" s="219" t="s">
        <v>544</v>
      </c>
      <c r="B12" s="218" t="s">
        <v>535</v>
      </c>
      <c r="C12" s="214"/>
      <c r="D12" s="214"/>
      <c r="E12" s="214"/>
      <c r="F12" s="214"/>
      <c r="G12" s="215"/>
      <c r="H12" s="215"/>
      <c r="I12" s="215"/>
      <c r="J12" s="215"/>
      <c r="K12" s="215"/>
      <c r="L12" s="215"/>
      <c r="M12" s="215"/>
      <c r="N12" s="215"/>
      <c r="O12" s="215"/>
      <c r="P12" s="215"/>
      <c r="Q12" s="215"/>
    </row>
    <row r="13" spans="1:17" s="216" customFormat="1" ht="13.5" thickBot="1">
      <c r="A13" s="219" t="s">
        <v>545</v>
      </c>
      <c r="B13" s="218" t="s">
        <v>535</v>
      </c>
      <c r="C13" s="214"/>
      <c r="D13" s="214"/>
      <c r="E13" s="214"/>
      <c r="F13" s="214"/>
      <c r="G13" s="215"/>
      <c r="H13" s="215"/>
      <c r="I13" s="215"/>
      <c r="J13" s="215"/>
      <c r="K13" s="215"/>
      <c r="L13" s="215"/>
      <c r="M13" s="215"/>
      <c r="N13" s="215"/>
      <c r="O13" s="215"/>
      <c r="P13" s="215"/>
      <c r="Q13" s="215"/>
    </row>
    <row r="14" spans="1:17" s="216" customFormat="1" ht="13.5" thickBot="1">
      <c r="A14" s="219" t="s">
        <v>546</v>
      </c>
      <c r="B14" s="218" t="s">
        <v>535</v>
      </c>
      <c r="C14" s="214"/>
      <c r="D14" s="214"/>
      <c r="E14" s="214"/>
      <c r="F14" s="214"/>
      <c r="G14" s="215"/>
      <c r="H14" s="215"/>
      <c r="I14" s="215"/>
      <c r="J14" s="215"/>
      <c r="K14" s="215"/>
      <c r="L14" s="215"/>
      <c r="M14" s="215"/>
      <c r="N14" s="215"/>
      <c r="O14" s="215"/>
      <c r="P14" s="215"/>
      <c r="Q14" s="215"/>
    </row>
    <row r="15" spans="1:17" s="216" customFormat="1" ht="13.5" thickBot="1">
      <c r="A15" s="219" t="s">
        <v>547</v>
      </c>
      <c r="B15" s="220" t="s">
        <v>534</v>
      </c>
      <c r="C15" s="214"/>
      <c r="D15" s="214"/>
      <c r="E15" s="214"/>
      <c r="F15" s="214"/>
      <c r="G15" s="215"/>
      <c r="H15" s="215"/>
      <c r="I15" s="215"/>
      <c r="J15" s="215"/>
      <c r="K15" s="215"/>
      <c r="L15" s="215"/>
      <c r="M15" s="215"/>
      <c r="N15" s="215"/>
      <c r="O15" s="215"/>
      <c r="P15" s="215"/>
      <c r="Q15" s="215"/>
    </row>
    <row r="16" spans="1:17" s="216" customFormat="1" ht="13.5" thickBot="1">
      <c r="A16" s="219" t="s">
        <v>548</v>
      </c>
      <c r="B16" s="220" t="s">
        <v>534</v>
      </c>
      <c r="C16" s="214"/>
      <c r="D16" s="214"/>
      <c r="E16" s="214"/>
      <c r="F16" s="214"/>
      <c r="G16" s="215"/>
      <c r="H16" s="215"/>
      <c r="I16" s="215"/>
      <c r="J16" s="215"/>
      <c r="K16" s="215"/>
      <c r="L16" s="215"/>
      <c r="M16" s="215"/>
      <c r="N16" s="215"/>
      <c r="O16" s="215"/>
      <c r="P16" s="215"/>
      <c r="Q16" s="215"/>
    </row>
    <row r="17" spans="1:17" s="216" customFormat="1" ht="13.5" thickBot="1">
      <c r="A17" s="219" t="s">
        <v>549</v>
      </c>
      <c r="B17" s="220" t="s">
        <v>534</v>
      </c>
      <c r="C17" s="214"/>
      <c r="D17" s="214"/>
      <c r="E17" s="214"/>
      <c r="F17" s="214"/>
      <c r="G17" s="215"/>
      <c r="H17" s="215"/>
      <c r="I17" s="215"/>
      <c r="J17" s="215"/>
      <c r="K17" s="215"/>
      <c r="L17" s="215"/>
      <c r="M17" s="215"/>
      <c r="N17" s="215"/>
      <c r="O17" s="215"/>
      <c r="P17" s="215"/>
      <c r="Q17" s="215"/>
    </row>
    <row r="18" spans="1:17" s="216" customFormat="1" ht="13.5" thickBot="1">
      <c r="A18" s="219" t="s">
        <v>550</v>
      </c>
      <c r="B18" s="218" t="s">
        <v>536</v>
      </c>
      <c r="C18" s="214"/>
      <c r="D18" s="214"/>
      <c r="E18" s="214"/>
      <c r="F18" s="214"/>
      <c r="G18" s="215"/>
      <c r="H18" s="215"/>
      <c r="I18" s="215"/>
      <c r="J18" s="215"/>
      <c r="K18" s="215"/>
      <c r="L18" s="215"/>
      <c r="M18" s="215"/>
      <c r="N18" s="215"/>
      <c r="O18" s="215"/>
      <c r="P18" s="215"/>
      <c r="Q18" s="215"/>
    </row>
    <row r="19" spans="1:17" s="216" customFormat="1" ht="13.5" thickBot="1">
      <c r="A19" s="219" t="s">
        <v>551</v>
      </c>
      <c r="B19" s="218" t="s">
        <v>535</v>
      </c>
      <c r="C19" s="214"/>
      <c r="D19" s="214"/>
      <c r="E19" s="214"/>
      <c r="F19" s="214"/>
      <c r="G19" s="215"/>
      <c r="H19" s="215"/>
      <c r="I19" s="215"/>
      <c r="J19" s="215"/>
      <c r="K19" s="215"/>
      <c r="L19" s="215"/>
      <c r="M19" s="215"/>
      <c r="N19" s="215"/>
      <c r="O19" s="215"/>
      <c r="P19" s="215"/>
      <c r="Q19" s="215"/>
    </row>
    <row r="20" spans="1:17" s="216" customFormat="1" ht="13.5" thickBot="1">
      <c r="A20" s="219" t="s">
        <v>552</v>
      </c>
      <c r="B20" s="218" t="s">
        <v>535</v>
      </c>
      <c r="C20" s="214"/>
      <c r="D20" s="214"/>
      <c r="E20" s="214"/>
      <c r="F20" s="214"/>
      <c r="G20" s="215"/>
      <c r="H20" s="215"/>
      <c r="I20" s="215"/>
      <c r="J20" s="215"/>
      <c r="K20" s="215"/>
      <c r="L20" s="215"/>
      <c r="M20" s="215"/>
      <c r="N20" s="215"/>
      <c r="O20" s="215"/>
      <c r="P20" s="215"/>
      <c r="Q20" s="215"/>
    </row>
    <row r="21" spans="1:17" s="216" customFormat="1" ht="13.5" thickBot="1">
      <c r="A21" s="219" t="s">
        <v>553</v>
      </c>
      <c r="B21" s="220" t="s">
        <v>534</v>
      </c>
      <c r="C21" s="214"/>
      <c r="D21" s="214"/>
      <c r="E21" s="214"/>
      <c r="F21" s="214"/>
      <c r="G21" s="215"/>
      <c r="H21" s="215"/>
      <c r="I21" s="215"/>
      <c r="J21" s="215"/>
      <c r="K21" s="215"/>
      <c r="L21" s="215"/>
      <c r="M21" s="215"/>
      <c r="N21" s="215"/>
      <c r="O21" s="215"/>
      <c r="P21" s="215"/>
      <c r="Q21" s="215"/>
    </row>
    <row r="22" spans="1:17" s="216" customFormat="1" ht="13.5" thickBot="1">
      <c r="A22" s="219" t="s">
        <v>554</v>
      </c>
      <c r="B22" s="220" t="s">
        <v>534</v>
      </c>
      <c r="C22" s="214"/>
      <c r="D22" s="214"/>
      <c r="E22" s="214"/>
      <c r="F22" s="214"/>
      <c r="G22" s="215"/>
      <c r="H22" s="215"/>
      <c r="I22" s="215"/>
      <c r="J22" s="215"/>
      <c r="K22" s="215"/>
      <c r="L22" s="215"/>
      <c r="M22" s="215"/>
      <c r="N22" s="215"/>
      <c r="O22" s="215"/>
      <c r="P22" s="215"/>
      <c r="Q22" s="215"/>
    </row>
    <row r="23" spans="1:17" s="216" customFormat="1" ht="13.5" thickBot="1">
      <c r="A23" s="219" t="s">
        <v>555</v>
      </c>
      <c r="B23" s="220" t="s">
        <v>534</v>
      </c>
      <c r="C23" s="214"/>
      <c r="D23" s="214"/>
      <c r="E23" s="214"/>
      <c r="F23" s="214"/>
      <c r="G23" s="215"/>
      <c r="H23" s="215"/>
      <c r="I23" s="215"/>
      <c r="J23" s="215"/>
      <c r="K23" s="215"/>
      <c r="L23" s="215"/>
      <c r="M23" s="215"/>
      <c r="N23" s="215"/>
      <c r="O23" s="215"/>
      <c r="P23" s="215"/>
      <c r="Q23" s="215"/>
    </row>
    <row r="24" spans="1:17" s="216" customFormat="1" ht="13.5" thickBot="1">
      <c r="A24" s="219" t="s">
        <v>556</v>
      </c>
      <c r="B24" s="220" t="s">
        <v>534</v>
      </c>
      <c r="C24" s="214"/>
      <c r="D24" s="214"/>
      <c r="E24" s="214"/>
      <c r="F24" s="214"/>
      <c r="G24" s="215"/>
      <c r="H24" s="215"/>
      <c r="I24" s="215"/>
      <c r="J24" s="215"/>
      <c r="K24" s="215"/>
      <c r="L24" s="215"/>
      <c r="M24" s="215"/>
      <c r="N24" s="215"/>
      <c r="O24" s="215"/>
      <c r="P24" s="215"/>
      <c r="Q24" s="215"/>
    </row>
    <row r="25" spans="1:17" s="216" customFormat="1" ht="13.5" thickBot="1">
      <c r="A25" s="219" t="s">
        <v>557</v>
      </c>
      <c r="B25" s="220" t="s">
        <v>534</v>
      </c>
      <c r="C25" s="214"/>
      <c r="D25" s="214"/>
      <c r="E25" s="214"/>
      <c r="F25" s="214"/>
      <c r="G25" s="215"/>
      <c r="H25" s="215"/>
      <c r="I25" s="215"/>
      <c r="J25" s="215"/>
      <c r="K25" s="215"/>
      <c r="L25" s="215"/>
      <c r="M25" s="215"/>
      <c r="N25" s="215"/>
      <c r="O25" s="215"/>
      <c r="P25" s="215"/>
      <c r="Q25" s="215"/>
    </row>
    <row r="26" spans="1:17" s="216" customFormat="1" ht="13.5" thickBot="1">
      <c r="A26" s="224" t="s">
        <v>596</v>
      </c>
      <c r="B26" s="220" t="s">
        <v>534</v>
      </c>
      <c r="C26" s="214"/>
      <c r="D26" s="214"/>
      <c r="E26" s="214"/>
      <c r="F26" s="214"/>
      <c r="G26" s="215"/>
      <c r="H26" s="215"/>
      <c r="I26" s="215"/>
      <c r="J26" s="215"/>
      <c r="K26" s="215"/>
      <c r="L26" s="215"/>
      <c r="M26" s="215"/>
      <c r="N26" s="215"/>
      <c r="O26" s="215"/>
      <c r="P26" s="215"/>
      <c r="Q26" s="215"/>
    </row>
    <row r="27" spans="1:17" s="216" customFormat="1" ht="14.25" thickTop="1" thickBot="1">
      <c r="A27" s="217" t="s">
        <v>558</v>
      </c>
      <c r="B27" s="220" t="s">
        <v>534</v>
      </c>
      <c r="C27" s="214"/>
      <c r="D27" s="214"/>
      <c r="E27" s="214"/>
      <c r="F27" s="214"/>
      <c r="G27" s="215"/>
      <c r="H27" s="215"/>
      <c r="I27" s="215"/>
      <c r="J27" s="215"/>
      <c r="K27" s="215"/>
      <c r="L27" s="215"/>
      <c r="M27" s="215"/>
      <c r="N27" s="215"/>
      <c r="O27" s="215"/>
      <c r="P27" s="215"/>
      <c r="Q27" s="215"/>
    </row>
    <row r="28" spans="1:17" s="216" customFormat="1" ht="13.5" thickBot="1">
      <c r="A28" s="219" t="s">
        <v>559</v>
      </c>
      <c r="B28" s="220" t="s">
        <v>534</v>
      </c>
      <c r="C28" s="214"/>
      <c r="D28" s="214"/>
      <c r="E28" s="214"/>
      <c r="F28" s="214"/>
      <c r="G28" s="215"/>
      <c r="H28" s="215"/>
      <c r="I28" s="215"/>
      <c r="J28" s="215"/>
      <c r="K28" s="215"/>
      <c r="L28" s="215"/>
      <c r="M28" s="215"/>
      <c r="N28" s="215"/>
      <c r="O28" s="215"/>
      <c r="P28" s="215"/>
      <c r="Q28" s="215"/>
    </row>
    <row r="29" spans="1:17" s="216" customFormat="1" ht="13.5" thickBot="1">
      <c r="A29" s="219" t="s">
        <v>560</v>
      </c>
      <c r="B29" s="218" t="s">
        <v>535</v>
      </c>
      <c r="C29" s="214"/>
      <c r="D29" s="214"/>
      <c r="E29" s="214"/>
      <c r="F29" s="214"/>
      <c r="G29" s="215"/>
      <c r="H29" s="215"/>
      <c r="I29" s="215"/>
      <c r="J29" s="215"/>
      <c r="K29" s="215"/>
      <c r="L29" s="215"/>
      <c r="M29" s="215"/>
      <c r="N29" s="215"/>
      <c r="O29" s="215"/>
      <c r="P29" s="215"/>
      <c r="Q29" s="215"/>
    </row>
    <row r="30" spans="1:17" s="216" customFormat="1" ht="13.5" thickBot="1">
      <c r="A30" s="219" t="s">
        <v>561</v>
      </c>
      <c r="B30" s="218" t="s">
        <v>535</v>
      </c>
      <c r="C30" s="214"/>
      <c r="D30" s="214"/>
      <c r="E30" s="214"/>
      <c r="F30" s="214"/>
      <c r="G30" s="215"/>
      <c r="H30" s="215"/>
      <c r="I30" s="215"/>
      <c r="J30" s="215"/>
      <c r="K30" s="215"/>
      <c r="L30" s="215"/>
      <c r="M30" s="215"/>
      <c r="N30" s="215"/>
      <c r="O30" s="215"/>
      <c r="P30" s="215"/>
      <c r="Q30" s="215"/>
    </row>
    <row r="31" spans="1:17" s="216" customFormat="1" ht="13.5" thickBot="1">
      <c r="A31" s="219" t="s">
        <v>562</v>
      </c>
      <c r="B31" s="218" t="s">
        <v>536</v>
      </c>
      <c r="C31" s="214"/>
      <c r="D31" s="214"/>
      <c r="E31" s="214"/>
      <c r="F31" s="214"/>
      <c r="G31" s="215"/>
      <c r="H31" s="215"/>
      <c r="I31" s="215"/>
      <c r="J31" s="215"/>
      <c r="K31" s="215"/>
      <c r="L31" s="215"/>
      <c r="M31" s="215"/>
      <c r="N31" s="215"/>
      <c r="O31" s="215"/>
      <c r="P31" s="215"/>
      <c r="Q31" s="215"/>
    </row>
    <row r="32" spans="1:17" s="216" customFormat="1" ht="13.5" thickBot="1">
      <c r="A32" s="219" t="s">
        <v>563</v>
      </c>
      <c r="B32" s="220" t="s">
        <v>534</v>
      </c>
      <c r="C32" s="214"/>
      <c r="D32" s="214"/>
      <c r="E32" s="214"/>
      <c r="F32" s="214"/>
      <c r="G32" s="215"/>
      <c r="H32" s="215"/>
      <c r="I32" s="215"/>
      <c r="J32" s="215"/>
      <c r="K32" s="215"/>
      <c r="L32" s="215"/>
      <c r="M32" s="215"/>
      <c r="N32" s="215"/>
      <c r="O32" s="215"/>
      <c r="P32" s="215"/>
      <c r="Q32" s="215"/>
    </row>
    <row r="33" spans="1:17" s="216" customFormat="1" ht="13.5" thickBot="1">
      <c r="A33" s="219" t="s">
        <v>564</v>
      </c>
      <c r="B33" s="218" t="s">
        <v>535</v>
      </c>
      <c r="C33" s="214"/>
      <c r="D33" s="214"/>
      <c r="E33" s="214"/>
      <c r="F33" s="214"/>
      <c r="G33" s="215"/>
      <c r="H33" s="215"/>
      <c r="I33" s="215"/>
      <c r="J33" s="215"/>
      <c r="K33" s="215"/>
      <c r="L33" s="215"/>
      <c r="M33" s="215"/>
      <c r="N33" s="215"/>
      <c r="O33" s="215"/>
      <c r="P33" s="215"/>
      <c r="Q33" s="215"/>
    </row>
    <row r="34" spans="1:17" s="216" customFormat="1" ht="13.5" thickBot="1">
      <c r="A34" s="219" t="s">
        <v>565</v>
      </c>
      <c r="B34" s="220" t="s">
        <v>534</v>
      </c>
      <c r="C34" s="214"/>
      <c r="D34" s="214"/>
      <c r="E34" s="214"/>
      <c r="F34" s="214"/>
      <c r="G34" s="215"/>
      <c r="H34" s="215"/>
      <c r="I34" s="215"/>
      <c r="J34" s="215"/>
      <c r="K34" s="215"/>
      <c r="L34" s="215"/>
      <c r="M34" s="215"/>
      <c r="N34" s="215"/>
      <c r="O34" s="215"/>
      <c r="P34" s="215"/>
      <c r="Q34" s="215"/>
    </row>
    <row r="35" spans="1:17" s="216" customFormat="1" ht="13.5" thickBot="1">
      <c r="A35" s="219" t="s">
        <v>566</v>
      </c>
      <c r="B35" s="220" t="s">
        <v>534</v>
      </c>
      <c r="C35" s="214"/>
      <c r="D35" s="214"/>
      <c r="E35" s="214"/>
      <c r="F35" s="214"/>
      <c r="G35" s="215"/>
      <c r="H35" s="215"/>
      <c r="I35" s="215"/>
      <c r="J35" s="215"/>
      <c r="K35" s="215"/>
      <c r="L35" s="215"/>
      <c r="M35" s="215"/>
      <c r="N35" s="215"/>
      <c r="O35" s="215"/>
      <c r="P35" s="215"/>
      <c r="Q35" s="215"/>
    </row>
    <row r="36" spans="1:17" s="216" customFormat="1" ht="13.5" thickBot="1">
      <c r="A36" s="219" t="s">
        <v>567</v>
      </c>
      <c r="B36" s="220" t="s">
        <v>534</v>
      </c>
      <c r="C36" s="214"/>
      <c r="D36" s="214"/>
      <c r="E36" s="214"/>
      <c r="F36" s="214"/>
      <c r="G36" s="215"/>
      <c r="H36" s="215"/>
      <c r="I36" s="215"/>
      <c r="J36" s="215"/>
      <c r="K36" s="215"/>
      <c r="L36" s="215"/>
      <c r="M36" s="215"/>
      <c r="N36" s="215"/>
      <c r="O36" s="215"/>
      <c r="P36" s="215"/>
      <c r="Q36" s="215"/>
    </row>
    <row r="37" spans="1:17" s="216" customFormat="1" ht="13.5" thickBot="1">
      <c r="A37" s="219" t="s">
        <v>568</v>
      </c>
      <c r="B37" s="218" t="s">
        <v>535</v>
      </c>
      <c r="C37" s="214"/>
      <c r="D37" s="214"/>
      <c r="E37" s="214"/>
      <c r="F37" s="214"/>
      <c r="G37" s="215"/>
      <c r="H37" s="215"/>
      <c r="I37" s="215"/>
      <c r="J37" s="215"/>
      <c r="K37" s="215"/>
      <c r="L37" s="215"/>
      <c r="M37" s="215"/>
      <c r="N37" s="215"/>
      <c r="O37" s="215"/>
      <c r="P37" s="215"/>
      <c r="Q37" s="215"/>
    </row>
    <row r="38" spans="1:17" s="216" customFormat="1" ht="13.5" thickBot="1">
      <c r="A38" s="219" t="s">
        <v>156</v>
      </c>
      <c r="B38" s="218" t="s">
        <v>535</v>
      </c>
      <c r="C38" s="214"/>
      <c r="D38" s="214"/>
      <c r="E38" s="214"/>
      <c r="F38" s="214"/>
      <c r="G38" s="215"/>
      <c r="H38" s="215"/>
      <c r="I38" s="215"/>
      <c r="J38" s="215"/>
      <c r="K38" s="215"/>
      <c r="L38" s="215"/>
      <c r="M38" s="215"/>
      <c r="N38" s="215"/>
      <c r="O38" s="215"/>
      <c r="P38" s="215"/>
      <c r="Q38" s="215"/>
    </row>
    <row r="39" spans="1:17" s="216" customFormat="1" ht="13.5" thickBot="1">
      <c r="A39" s="219" t="s">
        <v>569</v>
      </c>
      <c r="B39" s="218" t="s">
        <v>535</v>
      </c>
      <c r="C39" s="214"/>
      <c r="D39" s="214"/>
      <c r="E39" s="214"/>
      <c r="F39" s="214"/>
      <c r="G39" s="215"/>
      <c r="H39" s="215"/>
      <c r="I39" s="215"/>
      <c r="J39" s="215"/>
      <c r="K39" s="215"/>
      <c r="L39" s="215"/>
      <c r="M39" s="215"/>
      <c r="N39" s="215"/>
      <c r="O39" s="215"/>
      <c r="P39" s="215"/>
      <c r="Q39" s="215"/>
    </row>
    <row r="40" spans="1:17" s="216" customFormat="1" ht="13.5" thickBot="1">
      <c r="A40" s="219" t="s">
        <v>570</v>
      </c>
      <c r="B40" s="220" t="s">
        <v>534</v>
      </c>
      <c r="C40" s="214"/>
      <c r="D40" s="214"/>
      <c r="E40" s="214"/>
      <c r="F40" s="214"/>
      <c r="G40" s="215"/>
      <c r="H40" s="215"/>
      <c r="I40" s="215"/>
      <c r="J40" s="215"/>
      <c r="K40" s="215"/>
      <c r="L40" s="215"/>
      <c r="M40" s="215"/>
      <c r="N40" s="215"/>
      <c r="O40" s="215"/>
      <c r="P40" s="215"/>
      <c r="Q40" s="215"/>
    </row>
    <row r="41" spans="1:17" s="216" customFormat="1" ht="13.5" thickBot="1">
      <c r="A41" s="219" t="s">
        <v>571</v>
      </c>
      <c r="B41" s="220" t="s">
        <v>534</v>
      </c>
      <c r="C41" s="214"/>
      <c r="D41" s="214"/>
      <c r="E41" s="214"/>
      <c r="F41" s="214"/>
      <c r="G41" s="215"/>
      <c r="H41" s="215"/>
      <c r="I41" s="215"/>
      <c r="J41" s="215"/>
      <c r="K41" s="215"/>
      <c r="L41" s="215"/>
      <c r="M41" s="215"/>
      <c r="N41" s="215"/>
      <c r="O41" s="215"/>
      <c r="P41" s="215"/>
      <c r="Q41" s="215"/>
    </row>
    <row r="42" spans="1:17" s="216" customFormat="1" ht="13.5" thickBot="1">
      <c r="A42" s="219" t="s">
        <v>516</v>
      </c>
      <c r="B42" s="220" t="s">
        <v>534</v>
      </c>
      <c r="C42" s="214"/>
      <c r="D42" s="214"/>
      <c r="E42" s="214"/>
      <c r="F42" s="214"/>
      <c r="G42" s="215"/>
      <c r="H42" s="215"/>
      <c r="I42" s="215"/>
      <c r="J42" s="215"/>
      <c r="K42" s="215"/>
      <c r="L42" s="215"/>
      <c r="M42" s="215"/>
      <c r="N42" s="215"/>
      <c r="O42" s="215"/>
      <c r="P42" s="215"/>
      <c r="Q42" s="215"/>
    </row>
    <row r="43" spans="1:17" s="216" customFormat="1" ht="13.5" thickBot="1">
      <c r="A43" s="219" t="s">
        <v>572</v>
      </c>
      <c r="B43" s="218" t="s">
        <v>535</v>
      </c>
      <c r="C43" s="214"/>
      <c r="D43" s="214"/>
      <c r="E43" s="214"/>
      <c r="F43" s="214"/>
      <c r="G43" s="215"/>
      <c r="H43" s="215"/>
      <c r="I43" s="215"/>
      <c r="J43" s="215"/>
      <c r="K43" s="215"/>
      <c r="L43" s="215"/>
      <c r="M43" s="215"/>
      <c r="N43" s="215"/>
      <c r="O43" s="215"/>
      <c r="P43" s="215"/>
      <c r="Q43" s="215"/>
    </row>
    <row r="44" spans="1:17" s="216" customFormat="1" ht="13.5" thickBot="1">
      <c r="A44" s="219" t="s">
        <v>573</v>
      </c>
      <c r="B44" s="218" t="s">
        <v>535</v>
      </c>
      <c r="C44" s="214"/>
      <c r="D44" s="214"/>
      <c r="E44" s="214"/>
      <c r="F44" s="214"/>
      <c r="G44" s="215"/>
      <c r="H44" s="215"/>
      <c r="I44" s="215"/>
      <c r="J44" s="215"/>
      <c r="K44" s="215"/>
      <c r="L44" s="215"/>
      <c r="M44" s="215"/>
      <c r="N44" s="215"/>
      <c r="O44" s="215"/>
      <c r="P44" s="215"/>
      <c r="Q44" s="215"/>
    </row>
    <row r="45" spans="1:17" s="216" customFormat="1" ht="13.5" thickBot="1">
      <c r="A45" s="219" t="s">
        <v>574</v>
      </c>
      <c r="B45" s="218" t="s">
        <v>535</v>
      </c>
      <c r="C45" s="214"/>
      <c r="D45" s="214"/>
      <c r="E45" s="214"/>
      <c r="F45" s="214"/>
      <c r="G45" s="215"/>
      <c r="H45" s="215"/>
      <c r="I45" s="215"/>
      <c r="J45" s="215"/>
      <c r="K45" s="215"/>
      <c r="L45" s="215"/>
      <c r="M45" s="215"/>
      <c r="N45" s="215"/>
      <c r="O45" s="215"/>
      <c r="P45" s="215"/>
      <c r="Q45" s="215"/>
    </row>
    <row r="46" spans="1:17" s="216" customFormat="1" ht="13.5" thickBot="1">
      <c r="A46" s="219" t="s">
        <v>575</v>
      </c>
      <c r="B46" s="218" t="s">
        <v>536</v>
      </c>
      <c r="C46" s="214"/>
      <c r="D46" s="214"/>
      <c r="E46" s="214"/>
      <c r="F46" s="214"/>
      <c r="G46" s="215"/>
      <c r="H46" s="215"/>
      <c r="I46" s="215"/>
      <c r="J46" s="215"/>
      <c r="K46" s="215"/>
      <c r="L46" s="215"/>
      <c r="M46" s="215"/>
      <c r="N46" s="215"/>
      <c r="O46" s="215"/>
      <c r="P46" s="215"/>
      <c r="Q46" s="215"/>
    </row>
    <row r="47" spans="1:17" s="216" customFormat="1" ht="13.5" thickBot="1">
      <c r="A47" s="219" t="s">
        <v>576</v>
      </c>
      <c r="B47" s="220" t="s">
        <v>534</v>
      </c>
      <c r="C47" s="214"/>
      <c r="D47" s="214"/>
      <c r="E47" s="214"/>
      <c r="F47" s="214"/>
      <c r="G47" s="215"/>
      <c r="H47" s="215"/>
      <c r="I47" s="215"/>
      <c r="J47" s="215"/>
      <c r="K47" s="215"/>
      <c r="L47" s="215"/>
      <c r="M47" s="215"/>
      <c r="N47" s="215"/>
      <c r="O47" s="215"/>
      <c r="P47" s="215"/>
      <c r="Q47" s="215"/>
    </row>
    <row r="48" spans="1:17" s="216" customFormat="1" ht="13.5" thickBot="1">
      <c r="A48" s="219" t="s">
        <v>577</v>
      </c>
      <c r="B48" s="220" t="s">
        <v>534</v>
      </c>
      <c r="C48" s="214"/>
      <c r="D48" s="214"/>
      <c r="E48" s="214"/>
      <c r="F48" s="214"/>
      <c r="G48" s="215"/>
      <c r="H48" s="215"/>
      <c r="I48" s="215"/>
      <c r="J48" s="215"/>
      <c r="K48" s="215"/>
      <c r="L48" s="215"/>
      <c r="M48" s="215"/>
      <c r="N48" s="215"/>
      <c r="O48" s="215"/>
      <c r="P48" s="215"/>
      <c r="Q48" s="215"/>
    </row>
    <row r="49" spans="1:17" s="216" customFormat="1" ht="13.5" thickBot="1">
      <c r="A49" s="224" t="s">
        <v>597</v>
      </c>
      <c r="B49" s="218" t="s">
        <v>535</v>
      </c>
      <c r="C49" s="214"/>
      <c r="D49" s="214"/>
      <c r="E49" s="214"/>
      <c r="F49" s="214"/>
      <c r="G49" s="215"/>
      <c r="H49" s="215"/>
      <c r="I49" s="215"/>
      <c r="J49" s="215"/>
      <c r="K49" s="215"/>
      <c r="L49" s="215"/>
      <c r="M49" s="215"/>
      <c r="N49" s="215"/>
      <c r="O49" s="215"/>
      <c r="P49" s="215"/>
      <c r="Q49" s="215"/>
    </row>
    <row r="50" spans="1:17" s="216" customFormat="1" ht="14.25" thickTop="1" thickBot="1">
      <c r="A50" s="221" t="s">
        <v>518</v>
      </c>
      <c r="B50" s="220" t="s">
        <v>534</v>
      </c>
      <c r="C50" s="214"/>
      <c r="D50" s="214"/>
      <c r="E50" s="214"/>
      <c r="F50" s="214"/>
      <c r="G50" s="215"/>
      <c r="H50" s="215"/>
      <c r="I50" s="215"/>
      <c r="J50" s="215"/>
      <c r="K50" s="215"/>
      <c r="L50" s="215"/>
      <c r="M50" s="215"/>
      <c r="N50" s="215"/>
      <c r="O50" s="215"/>
      <c r="P50" s="215"/>
      <c r="Q50" s="215"/>
    </row>
    <row r="51" spans="1:17" s="216" customFormat="1" ht="13.5" thickBot="1">
      <c r="A51" s="222" t="s">
        <v>578</v>
      </c>
      <c r="B51" s="218" t="s">
        <v>536</v>
      </c>
      <c r="C51" s="214"/>
      <c r="D51" s="214"/>
      <c r="E51" s="214"/>
      <c r="F51" s="214"/>
      <c r="G51" s="215"/>
      <c r="H51" s="215"/>
      <c r="I51" s="215"/>
      <c r="J51" s="215"/>
      <c r="K51" s="215"/>
      <c r="L51" s="215"/>
      <c r="M51" s="215"/>
      <c r="N51" s="215"/>
      <c r="O51" s="215"/>
      <c r="P51" s="215"/>
      <c r="Q51" s="215"/>
    </row>
    <row r="52" spans="1:17" s="216" customFormat="1" ht="13.5" thickBot="1">
      <c r="A52" s="222" t="s">
        <v>579</v>
      </c>
      <c r="B52" s="218" t="s">
        <v>535</v>
      </c>
      <c r="C52" s="214"/>
      <c r="D52" s="214"/>
      <c r="E52" s="214"/>
      <c r="F52" s="214"/>
      <c r="G52" s="215"/>
      <c r="H52" s="215"/>
      <c r="I52" s="215"/>
      <c r="J52" s="215"/>
      <c r="K52" s="215"/>
      <c r="L52" s="215"/>
      <c r="M52" s="215"/>
      <c r="N52" s="215"/>
      <c r="O52" s="215"/>
      <c r="P52" s="215"/>
      <c r="Q52" s="215"/>
    </row>
    <row r="53" spans="1:17" s="216" customFormat="1" ht="13.5" thickBot="1">
      <c r="A53" s="222" t="s">
        <v>519</v>
      </c>
      <c r="B53" s="218" t="s">
        <v>536</v>
      </c>
      <c r="C53" s="214"/>
      <c r="D53" s="214"/>
      <c r="E53" s="214"/>
      <c r="F53" s="214"/>
      <c r="G53" s="215"/>
      <c r="H53" s="215"/>
      <c r="I53" s="215"/>
      <c r="J53" s="215"/>
      <c r="K53" s="215"/>
      <c r="L53" s="215"/>
      <c r="M53" s="215"/>
      <c r="N53" s="215"/>
      <c r="O53" s="215"/>
      <c r="P53" s="215"/>
      <c r="Q53" s="215"/>
    </row>
    <row r="54" spans="1:17" s="216" customFormat="1" ht="13.5" thickBot="1">
      <c r="A54" s="222" t="s">
        <v>580</v>
      </c>
      <c r="B54" s="218" t="s">
        <v>535</v>
      </c>
      <c r="C54" s="214"/>
      <c r="D54" s="214"/>
      <c r="E54" s="214"/>
      <c r="F54" s="214"/>
      <c r="G54" s="215"/>
      <c r="H54" s="215"/>
      <c r="I54" s="215"/>
      <c r="J54" s="215"/>
      <c r="K54" s="215"/>
      <c r="L54" s="215"/>
      <c r="M54" s="215"/>
      <c r="N54" s="215"/>
      <c r="O54" s="215"/>
      <c r="P54" s="215"/>
      <c r="Q54" s="215"/>
    </row>
    <row r="55" spans="1:17" s="216" customFormat="1" ht="13.5" thickBot="1">
      <c r="A55" s="222" t="s">
        <v>581</v>
      </c>
      <c r="B55" s="218" t="s">
        <v>536</v>
      </c>
      <c r="C55" s="214"/>
      <c r="D55" s="214"/>
      <c r="E55" s="214"/>
      <c r="F55" s="214"/>
      <c r="G55" s="215"/>
      <c r="H55" s="215"/>
      <c r="I55" s="215"/>
      <c r="J55" s="215"/>
      <c r="K55" s="215"/>
      <c r="L55" s="215"/>
      <c r="M55" s="215"/>
      <c r="N55" s="215"/>
      <c r="O55" s="215"/>
      <c r="P55" s="215"/>
      <c r="Q55" s="215"/>
    </row>
    <row r="56" spans="1:17" s="216" customFormat="1" ht="13.5" thickBot="1">
      <c r="A56" s="222" t="s">
        <v>582</v>
      </c>
      <c r="B56" s="218" t="s">
        <v>535</v>
      </c>
      <c r="C56" s="214"/>
      <c r="D56" s="214"/>
      <c r="E56" s="214"/>
      <c r="F56" s="214"/>
      <c r="G56" s="215"/>
      <c r="H56" s="215"/>
      <c r="I56" s="215"/>
      <c r="J56" s="215"/>
      <c r="K56" s="215"/>
      <c r="L56" s="215"/>
      <c r="M56" s="215"/>
      <c r="N56" s="215"/>
      <c r="O56" s="215"/>
      <c r="P56" s="215"/>
      <c r="Q56" s="215"/>
    </row>
    <row r="57" spans="1:17" s="216" customFormat="1" ht="13.5" thickBot="1">
      <c r="A57" s="222" t="s">
        <v>583</v>
      </c>
      <c r="B57" s="220" t="s">
        <v>534</v>
      </c>
      <c r="C57" s="214"/>
      <c r="D57" s="214"/>
      <c r="E57" s="214"/>
      <c r="F57" s="214"/>
      <c r="G57" s="215"/>
      <c r="H57" s="215"/>
      <c r="I57" s="215"/>
      <c r="J57" s="215"/>
      <c r="K57" s="215"/>
      <c r="L57" s="215"/>
      <c r="M57" s="215"/>
      <c r="N57" s="215"/>
      <c r="O57" s="215"/>
      <c r="P57" s="215"/>
      <c r="Q57" s="215"/>
    </row>
    <row r="58" spans="1:17" s="216" customFormat="1" ht="13.5" thickBot="1">
      <c r="A58" s="225" t="s">
        <v>598</v>
      </c>
      <c r="B58" s="218" t="s">
        <v>535</v>
      </c>
      <c r="C58" s="214"/>
      <c r="D58" s="214"/>
      <c r="E58" s="214"/>
      <c r="F58" s="214"/>
      <c r="G58" s="215"/>
      <c r="H58" s="215"/>
      <c r="I58" s="215"/>
      <c r="J58" s="215"/>
      <c r="K58" s="215"/>
      <c r="L58" s="215"/>
      <c r="M58" s="215"/>
      <c r="N58" s="215"/>
      <c r="O58" s="215"/>
      <c r="P58" s="215"/>
      <c r="Q58" s="215"/>
    </row>
    <row r="59" spans="1:17" s="216" customFormat="1" ht="13.5" thickBot="1">
      <c r="A59" s="225" t="s">
        <v>599</v>
      </c>
      <c r="B59" s="218" t="s">
        <v>535</v>
      </c>
      <c r="C59" s="214"/>
      <c r="D59" s="214"/>
      <c r="E59" s="214"/>
      <c r="F59" s="214"/>
      <c r="G59" s="215"/>
      <c r="H59" s="215"/>
      <c r="I59" s="215"/>
      <c r="J59" s="215"/>
      <c r="K59" s="215"/>
      <c r="L59" s="215"/>
      <c r="M59" s="215"/>
      <c r="N59" s="215"/>
      <c r="O59" s="215"/>
      <c r="P59" s="215"/>
      <c r="Q59" s="215"/>
    </row>
    <row r="60" spans="1:17" s="216" customFormat="1" ht="13.5" thickBot="1">
      <c r="A60" s="222" t="s">
        <v>584</v>
      </c>
      <c r="B60" s="218" t="s">
        <v>535</v>
      </c>
      <c r="C60" s="214"/>
      <c r="D60" s="214"/>
      <c r="E60" s="214"/>
      <c r="F60" s="214"/>
      <c r="G60" s="215"/>
      <c r="H60" s="215"/>
      <c r="I60" s="215"/>
      <c r="J60" s="215"/>
      <c r="K60" s="215"/>
      <c r="L60" s="215"/>
      <c r="M60" s="215"/>
      <c r="N60" s="215"/>
      <c r="O60" s="215"/>
      <c r="P60" s="215"/>
      <c r="Q60" s="215"/>
    </row>
    <row r="61" spans="1:17" s="216" customFormat="1" ht="13.5" thickBot="1">
      <c r="A61" s="222" t="s">
        <v>585</v>
      </c>
      <c r="B61" s="218" t="s">
        <v>535</v>
      </c>
      <c r="C61" s="214"/>
      <c r="D61" s="214"/>
      <c r="E61" s="214"/>
      <c r="F61" s="214"/>
      <c r="G61" s="215"/>
      <c r="H61" s="215"/>
      <c r="I61" s="215"/>
      <c r="J61" s="215"/>
      <c r="K61" s="215"/>
      <c r="L61" s="215"/>
      <c r="M61" s="215"/>
      <c r="N61" s="215"/>
      <c r="O61" s="215"/>
      <c r="P61" s="215"/>
      <c r="Q61" s="215"/>
    </row>
    <row r="62" spans="1:17" s="216" customFormat="1" ht="13.5" thickBot="1">
      <c r="A62" s="222" t="s">
        <v>157</v>
      </c>
      <c r="B62" s="218" t="s">
        <v>535</v>
      </c>
      <c r="C62" s="214"/>
      <c r="D62" s="214"/>
      <c r="E62" s="214"/>
      <c r="F62" s="214"/>
      <c r="G62" s="215"/>
      <c r="H62" s="215"/>
      <c r="I62" s="215"/>
      <c r="J62" s="215"/>
      <c r="K62" s="215"/>
      <c r="L62" s="215"/>
      <c r="M62" s="215"/>
      <c r="N62" s="215"/>
      <c r="O62" s="215"/>
      <c r="P62" s="215"/>
      <c r="Q62" s="215"/>
    </row>
    <row r="63" spans="1:17" s="216" customFormat="1" ht="13.5" thickBot="1">
      <c r="A63" s="222" t="s">
        <v>586</v>
      </c>
      <c r="B63" s="218" t="s">
        <v>535</v>
      </c>
      <c r="C63" s="214"/>
      <c r="D63" s="214"/>
      <c r="E63" s="214"/>
      <c r="F63" s="214"/>
      <c r="G63" s="215"/>
      <c r="H63" s="215"/>
      <c r="I63" s="215"/>
      <c r="J63" s="215"/>
      <c r="K63" s="215"/>
      <c r="L63" s="215"/>
      <c r="M63" s="215"/>
      <c r="N63" s="215"/>
      <c r="O63" s="215"/>
      <c r="P63" s="215"/>
      <c r="Q63" s="215"/>
    </row>
    <row r="64" spans="1:17" s="216" customFormat="1" ht="13.5" thickBot="1">
      <c r="A64" s="222" t="s">
        <v>587</v>
      </c>
      <c r="B64" s="220" t="s">
        <v>534</v>
      </c>
      <c r="C64" s="214"/>
      <c r="D64" s="214"/>
      <c r="E64" s="214"/>
      <c r="F64" s="214"/>
      <c r="G64" s="215"/>
      <c r="H64" s="215"/>
      <c r="I64" s="215"/>
      <c r="J64" s="215"/>
      <c r="K64" s="215"/>
      <c r="L64" s="215"/>
      <c r="M64" s="215"/>
      <c r="N64" s="215"/>
      <c r="O64" s="215"/>
      <c r="P64" s="215"/>
      <c r="Q64" s="215"/>
    </row>
    <row r="65" spans="1:17" s="216" customFormat="1" ht="13.5" thickBot="1">
      <c r="A65" s="222" t="s">
        <v>588</v>
      </c>
      <c r="B65" s="220" t="s">
        <v>534</v>
      </c>
      <c r="C65" s="214"/>
      <c r="D65" s="214"/>
      <c r="E65" s="214"/>
      <c r="F65" s="214"/>
      <c r="G65" s="215"/>
      <c r="H65" s="215"/>
      <c r="I65" s="215"/>
      <c r="J65" s="215"/>
      <c r="K65" s="215"/>
      <c r="L65" s="215"/>
      <c r="M65" s="215"/>
      <c r="N65" s="215"/>
      <c r="O65" s="215"/>
      <c r="P65" s="215"/>
      <c r="Q65" s="215"/>
    </row>
    <row r="66" spans="1:17" s="216" customFormat="1" ht="13.5" thickBot="1">
      <c r="A66" s="222" t="s">
        <v>589</v>
      </c>
      <c r="B66" s="220" t="s">
        <v>534</v>
      </c>
      <c r="C66" s="214"/>
      <c r="D66" s="214"/>
      <c r="E66" s="214"/>
      <c r="F66" s="214"/>
      <c r="G66" s="215"/>
      <c r="H66" s="215"/>
      <c r="I66" s="215"/>
      <c r="J66" s="215"/>
      <c r="K66" s="215"/>
      <c r="L66" s="215"/>
      <c r="M66" s="215"/>
      <c r="N66" s="215"/>
      <c r="O66" s="215"/>
      <c r="P66" s="215"/>
      <c r="Q66" s="215"/>
    </row>
    <row r="67" spans="1:17" s="216" customFormat="1" ht="13.5" thickBot="1">
      <c r="A67" s="222" t="s">
        <v>590</v>
      </c>
      <c r="B67" s="218" t="s">
        <v>535</v>
      </c>
      <c r="C67" s="214"/>
      <c r="D67" s="214"/>
      <c r="E67" s="214"/>
      <c r="F67" s="214"/>
      <c r="G67" s="215"/>
      <c r="H67" s="215"/>
      <c r="I67" s="215"/>
      <c r="J67" s="215"/>
      <c r="K67" s="215"/>
      <c r="L67" s="215"/>
      <c r="M67" s="215"/>
      <c r="N67" s="215"/>
      <c r="O67" s="215"/>
      <c r="P67" s="215"/>
      <c r="Q67" s="215"/>
    </row>
    <row r="68" spans="1:17" s="216" customFormat="1" ht="13.5" thickBot="1">
      <c r="A68" s="222" t="s">
        <v>591</v>
      </c>
      <c r="B68" s="220" t="s">
        <v>534</v>
      </c>
      <c r="C68" s="214"/>
      <c r="D68" s="214"/>
      <c r="E68" s="214"/>
      <c r="F68" s="214"/>
      <c r="G68" s="215"/>
      <c r="H68" s="215"/>
      <c r="I68" s="215"/>
      <c r="J68" s="215"/>
      <c r="K68" s="215"/>
      <c r="L68" s="215"/>
      <c r="M68" s="215"/>
      <c r="N68" s="215"/>
      <c r="O68" s="215"/>
      <c r="P68" s="215"/>
      <c r="Q68" s="215"/>
    </row>
    <row r="69" spans="1:17" s="216" customFormat="1" ht="13.5" thickBot="1">
      <c r="A69" s="222" t="s">
        <v>592</v>
      </c>
      <c r="B69" s="220" t="s">
        <v>534</v>
      </c>
      <c r="C69" s="214"/>
      <c r="D69" s="214"/>
      <c r="E69" s="214"/>
      <c r="F69" s="214"/>
      <c r="G69" s="215"/>
      <c r="H69" s="215"/>
      <c r="I69" s="215"/>
      <c r="J69" s="215"/>
      <c r="K69" s="215"/>
      <c r="L69" s="215"/>
      <c r="M69" s="215"/>
      <c r="N69" s="215"/>
      <c r="O69" s="215"/>
      <c r="P69" s="215"/>
      <c r="Q69" s="215"/>
    </row>
    <row r="70" spans="1:17" s="216" customFormat="1" ht="13.5" thickBot="1">
      <c r="A70" s="226" t="s">
        <v>600</v>
      </c>
      <c r="B70" s="220" t="s">
        <v>534</v>
      </c>
      <c r="C70" s="214"/>
      <c r="D70" s="214"/>
      <c r="E70" s="214"/>
      <c r="F70" s="214"/>
      <c r="G70" s="215"/>
      <c r="H70" s="215"/>
      <c r="I70" s="215"/>
      <c r="J70" s="215"/>
      <c r="K70" s="215"/>
      <c r="L70" s="215"/>
      <c r="M70" s="215"/>
      <c r="N70" s="215"/>
      <c r="O70" s="215"/>
      <c r="P70" s="215"/>
      <c r="Q70" s="215"/>
    </row>
    <row r="71" spans="1:17" s="216" customFormat="1" ht="12.75" thickTop="1">
      <c r="A71" s="212"/>
      <c r="B71" s="213"/>
      <c r="C71" s="214"/>
      <c r="D71" s="214"/>
      <c r="E71" s="214"/>
      <c r="F71" s="214"/>
      <c r="G71" s="215"/>
      <c r="H71" s="215"/>
      <c r="I71" s="215"/>
      <c r="J71" s="215"/>
      <c r="K71" s="215"/>
      <c r="L71" s="215"/>
      <c r="M71" s="215"/>
      <c r="N71" s="215"/>
      <c r="O71" s="215"/>
      <c r="P71" s="215"/>
      <c r="Q71" s="215"/>
    </row>
    <row r="72" spans="1:17" s="216" customFormat="1" ht="12">
      <c r="A72" s="212"/>
      <c r="B72" s="213"/>
      <c r="C72" s="214"/>
      <c r="D72" s="214"/>
      <c r="E72" s="214"/>
      <c r="F72" s="214"/>
      <c r="G72" s="215"/>
      <c r="H72" s="215"/>
      <c r="I72" s="215"/>
      <c r="J72" s="215"/>
      <c r="K72" s="215"/>
      <c r="L72" s="215"/>
      <c r="M72" s="215"/>
      <c r="N72" s="215"/>
      <c r="O72" s="215"/>
      <c r="P72" s="215"/>
      <c r="Q72" s="215"/>
    </row>
    <row r="73" spans="1:17" s="216" customFormat="1" ht="12">
      <c r="A73" s="212"/>
      <c r="B73" s="213"/>
      <c r="C73" s="214"/>
      <c r="D73" s="214"/>
      <c r="E73" s="214"/>
      <c r="F73" s="214"/>
      <c r="G73" s="215"/>
      <c r="H73" s="215"/>
      <c r="I73" s="215"/>
      <c r="J73" s="215"/>
      <c r="K73" s="215"/>
      <c r="L73" s="215"/>
      <c r="M73" s="215"/>
      <c r="N73" s="215"/>
      <c r="O73" s="215"/>
      <c r="P73" s="215"/>
      <c r="Q73" s="215"/>
    </row>
  </sheetData>
  <autoFilter ref="A3:B70" xr:uid="{00000000-0009-0000-0000-000003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15</vt:i4>
      </vt:variant>
    </vt:vector>
  </HeadingPairs>
  <TitlesOfParts>
    <vt:vector size="19" baseType="lpstr">
      <vt:lpstr>Summary</vt:lpstr>
      <vt:lpstr>Calculations</vt:lpstr>
      <vt:lpstr>Counties &amp; Municipalities</vt:lpstr>
      <vt:lpstr>SML</vt:lpstr>
      <vt:lpstr>Alloc_DRHoldback_2019</vt:lpstr>
      <vt:lpstr>Minimum</vt:lpstr>
      <vt:lpstr>Minimum_MD</vt:lpstr>
      <vt:lpstr>Calculations!Net_disb</vt:lpstr>
      <vt:lpstr>Population_2020</vt:lpstr>
      <vt:lpstr>Calculations!Print_Area</vt:lpstr>
      <vt:lpstr>'Counties &amp; Municipalities'!Print_Area</vt:lpstr>
      <vt:lpstr>Summary!Print_Area</vt:lpstr>
      <vt:lpstr>Calculations!Print_Titles</vt:lpstr>
      <vt:lpstr>'Counties &amp; Municipalities'!Print_Titles</vt:lpstr>
      <vt:lpstr>Summary!Print_Titles</vt:lpstr>
      <vt:lpstr>Calculations!Print_Titles_MI</vt:lpstr>
      <vt:lpstr>SML_list</vt:lpstr>
      <vt:lpstr>Calculations!Total_min</vt:lpstr>
      <vt:lpstr>Calculations!Total_over</vt:lpstr>
    </vt:vector>
  </TitlesOfParts>
  <Company>Florida Housing Finance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Sellers</dc:creator>
  <cp:lastModifiedBy>Johnitta Wells</cp:lastModifiedBy>
  <cp:lastPrinted>2021-03-05T14:16:39Z</cp:lastPrinted>
  <dcterms:created xsi:type="dcterms:W3CDTF">2009-08-03T21:00:32Z</dcterms:created>
  <dcterms:modified xsi:type="dcterms:W3CDTF">2021-04-26T20:53:22Z</dcterms:modified>
</cp:coreProperties>
</file>